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DieseArbeitsmappe"/>
  <mc:AlternateContent xmlns:mc="http://schemas.openxmlformats.org/markup-compatibility/2006">
    <mc:Choice Requires="x15">
      <x15ac:absPath xmlns:x15ac="http://schemas.microsoft.com/office/spreadsheetml/2010/11/ac" url="H:\Bernd-Stampp\Dateien-Flux\"/>
    </mc:Choice>
  </mc:AlternateContent>
  <xr:revisionPtr revIDLastSave="0" documentId="13_ncr:1_{EF4F3A9D-B113-4720-91E8-7C515877E82E}" xr6:coauthVersionLast="47" xr6:coauthVersionMax="47" xr10:uidLastSave="{00000000-0000-0000-0000-000000000000}"/>
  <bookViews>
    <workbookView showHorizontalScroll="0" xWindow="-98" yWindow="-98" windowWidth="28996" windowHeight="15675" tabRatio="955" xr2:uid="{00000000-000D-0000-FFFF-FFFF00000000}"/>
  </bookViews>
  <sheets>
    <sheet name="EÜR" sheetId="38" r:id="rId1"/>
    <sheet name="E01" sheetId="98" r:id="rId2"/>
    <sheet name="E02" sheetId="99" r:id="rId3"/>
    <sheet name="E03" sheetId="102" r:id="rId4"/>
    <sheet name="E04" sheetId="103" r:id="rId5"/>
    <sheet name="E05" sheetId="104" r:id="rId6"/>
    <sheet name="U06" sheetId="100" r:id="rId7"/>
    <sheet name="U07" sheetId="101" r:id="rId8"/>
    <sheet name="U08" sheetId="87" r:id="rId9"/>
    <sheet name="U09" sheetId="88" r:id="rId10"/>
    <sheet name="O10" sheetId="69" r:id="rId11"/>
    <sheet name="O11" sheetId="70" r:id="rId12"/>
    <sheet name="O12" sheetId="71" r:id="rId13"/>
    <sheet name="A01" sheetId="65" r:id="rId14"/>
    <sheet name="A02" sheetId="67" r:id="rId15"/>
    <sheet name="A03" sheetId="68" r:id="rId16"/>
    <sheet name="A04" sheetId="107" r:id="rId17"/>
    <sheet name="A05" sheetId="108" r:id="rId18"/>
    <sheet name="A06" sheetId="109" r:id="rId19"/>
    <sheet name="A07" sheetId="72" r:id="rId20"/>
    <sheet name="A08" sheetId="73" r:id="rId21"/>
    <sheet name="A09" sheetId="74" r:id="rId22"/>
    <sheet name="A10" sheetId="75" r:id="rId23"/>
    <sheet name="A11" sheetId="76" r:id="rId24"/>
    <sheet name="A12" sheetId="77" r:id="rId25"/>
    <sheet name="A13" sheetId="78" r:id="rId26"/>
    <sheet name="A14" sheetId="79" r:id="rId27"/>
    <sheet name="A15" sheetId="80" r:id="rId28"/>
    <sheet name="A16" sheetId="81" r:id="rId29"/>
    <sheet name="A17" sheetId="82" r:id="rId30"/>
    <sheet name="A18" sheetId="83" r:id="rId31"/>
    <sheet name="A19" sheetId="84" r:id="rId32"/>
    <sheet name="A20" sheetId="85" r:id="rId33"/>
    <sheet name="A21" sheetId="86" r:id="rId34"/>
    <sheet name="A22" sheetId="110" r:id="rId35"/>
    <sheet name="A23" sheetId="111" r:id="rId36"/>
    <sheet name="A24" sheetId="89" r:id="rId37"/>
    <sheet name="A25" sheetId="90" r:id="rId38"/>
    <sheet name="A26" sheetId="91" r:id="rId39"/>
    <sheet name="A27" sheetId="92" r:id="rId40"/>
    <sheet name="A28" sheetId="93" r:id="rId41"/>
    <sheet name="A29" sheetId="94" r:id="rId42"/>
    <sheet name="A30" sheetId="95" r:id="rId43"/>
    <sheet name="A31" sheetId="106" r:id="rId44"/>
    <sheet name="K" sheetId="96" r:id="rId45"/>
    <sheet name="E" sheetId="97" r:id="rId46"/>
    <sheet name="O" sheetId="105" r:id="rId47"/>
    <sheet name="U" sheetId="63" r:id="rId48"/>
    <sheet name="Legende 1" sheetId="112" r:id="rId49"/>
    <sheet name="Legende 2" sheetId="113" r:id="rId50"/>
    <sheet name="Legende 3" sheetId="114" r:id="rId51"/>
  </sheets>
  <definedNames>
    <definedName name="__123Graph_A" localSheetId="0" hidden="1">EÜR!#REF!</definedName>
    <definedName name="__123Graph_A" localSheetId="48" hidden="1">'Legende 1'!#REF!</definedName>
    <definedName name="__123Graph_A" localSheetId="49" hidden="1">'Legende 2'!#REF!</definedName>
    <definedName name="__123Graph_A" localSheetId="50" hidden="1">'Legende 3'!#REF!</definedName>
    <definedName name="__123Graph_A" hidden="1">#REF!</definedName>
    <definedName name="__123Graph_LBL_A" localSheetId="0" hidden="1">EÜR!#REF!</definedName>
    <definedName name="__123Graph_LBL_A" localSheetId="48" hidden="1">'Legende 1'!#REF!</definedName>
    <definedName name="__123Graph_LBL_A" localSheetId="49" hidden="1">'Legende 2'!#REF!</definedName>
    <definedName name="__123Graph_LBL_A" localSheetId="50" hidden="1">'Legende 3'!#REF!</definedName>
    <definedName name="__123Graph_LBL_A" hidden="1">#REF!</definedName>
    <definedName name="__123Graph_X" localSheetId="0" hidden="1">EÜR!$D$8:$D$66</definedName>
    <definedName name="__123Graph_X" localSheetId="48" hidden="1">'Legende 1'!#REF!</definedName>
    <definedName name="__123Graph_X" localSheetId="49" hidden="1">'Legende 2'!#REF!</definedName>
    <definedName name="__123Graph_X" localSheetId="50" hidden="1">'Legende 3'!#REF!</definedName>
    <definedName name="__123Graph_X" hidden="1">#REF!</definedName>
    <definedName name="_xlnm._FilterDatabase" localSheetId="13" hidden="1">'A01'!$C$3:$F$46</definedName>
    <definedName name="_xlnm._FilterDatabase" localSheetId="14" hidden="1">'A02'!$C$3:$F$46</definedName>
    <definedName name="_xlnm._FilterDatabase" localSheetId="15" hidden="1">'A03'!$C$3:$F$46</definedName>
    <definedName name="_xlnm._FilterDatabase" localSheetId="16" hidden="1">'A04'!$C$3:$F$46</definedName>
    <definedName name="_xlnm._FilterDatabase" localSheetId="17" hidden="1">'A05'!$C$3:$F$46</definedName>
    <definedName name="_xlnm._FilterDatabase" localSheetId="18" hidden="1">'A06'!$C$3:$F$46</definedName>
    <definedName name="_xlnm._FilterDatabase" localSheetId="19" hidden="1">'A07'!$C$3:$F$46</definedName>
    <definedName name="_xlnm._FilterDatabase" localSheetId="20" hidden="1">'A08'!$C$3:$F$46</definedName>
    <definedName name="_xlnm._FilterDatabase" localSheetId="21" hidden="1">'A09'!$C$3:$F$46</definedName>
    <definedName name="_xlnm._FilterDatabase" localSheetId="22" hidden="1">'A10'!$C$3:$F$46</definedName>
    <definedName name="_xlnm._FilterDatabase" localSheetId="23" hidden="1">'A11'!$C$3:$F$46</definedName>
    <definedName name="_xlnm._FilterDatabase" localSheetId="24" hidden="1">'A12'!$C$3:$F$46</definedName>
    <definedName name="_xlnm._FilterDatabase" localSheetId="25" hidden="1">'A13'!$C$3:$F$45</definedName>
    <definedName name="_xlnm._FilterDatabase" localSheetId="26" hidden="1">'A14'!$C$3:$F$46</definedName>
    <definedName name="_xlnm._FilterDatabase" localSheetId="27" hidden="1">'A15'!$C$3:$F$46</definedName>
    <definedName name="_xlnm._FilterDatabase" localSheetId="28" hidden="1">'A16'!$C$3:$I$49</definedName>
    <definedName name="_xlnm._FilterDatabase" localSheetId="29" hidden="1">'A17'!$C$3:$F$46</definedName>
    <definedName name="_xlnm._FilterDatabase" localSheetId="30" hidden="1">'A18'!$C$3:$F$46</definedName>
    <definedName name="_xlnm._FilterDatabase" localSheetId="31" hidden="1">'A19'!$C$3:$F$46</definedName>
    <definedName name="_xlnm._FilterDatabase" localSheetId="32" hidden="1">'A20'!$C$3:$F$46</definedName>
    <definedName name="_xlnm._FilterDatabase" localSheetId="33" hidden="1">'A21'!$C$3:$F$46</definedName>
    <definedName name="_xlnm._FilterDatabase" localSheetId="34" hidden="1">'A22'!$C$3:$F$46</definedName>
    <definedName name="_xlnm._FilterDatabase" localSheetId="35" hidden="1">'A23'!$C$3:$F$46</definedName>
    <definedName name="_xlnm._FilterDatabase" localSheetId="36" hidden="1">'A24'!$C$3:$F$46</definedName>
    <definedName name="_xlnm._FilterDatabase" localSheetId="37" hidden="1">'A25'!$C$3:$F$46</definedName>
    <definedName name="_xlnm._FilterDatabase" localSheetId="38" hidden="1">'A26'!$C$3:$F$46</definedName>
    <definedName name="_xlnm._FilterDatabase" localSheetId="39" hidden="1">'A27'!$C$3:$F$46</definedName>
    <definedName name="_xlnm._FilterDatabase" localSheetId="40" hidden="1">'A28'!$C$3:$F$46</definedName>
    <definedName name="_xlnm._FilterDatabase" localSheetId="41" hidden="1">'A29'!$C$3:$F$46</definedName>
    <definedName name="_xlnm._FilterDatabase" localSheetId="42" hidden="1">'A30'!$C$3:$F$46</definedName>
    <definedName name="_xlnm._FilterDatabase" localSheetId="43" hidden="1">'A31'!$C$3:$F$46</definedName>
    <definedName name="_xlnm._FilterDatabase" localSheetId="45" hidden="1">E!$K$2:$N$68</definedName>
    <definedName name="_xlnm._FilterDatabase" localSheetId="1" hidden="1">'E01'!$B$3:$J$49</definedName>
    <definedName name="_xlnm._FilterDatabase" localSheetId="2" hidden="1">'E02'!$C$3:$I$49</definedName>
    <definedName name="_xlnm._FilterDatabase" localSheetId="3" hidden="1">'E03'!$C$3:$F$46</definedName>
    <definedName name="_xlnm._FilterDatabase" localSheetId="4" hidden="1">'E04'!$C$3:$F$46</definedName>
    <definedName name="_xlnm._FilterDatabase" localSheetId="5" hidden="1">'E05'!$C$3:$F$46</definedName>
    <definedName name="_xlnm._FilterDatabase" localSheetId="0" hidden="1">EÜR!$B$4:$C$80</definedName>
    <definedName name="_xlnm._FilterDatabase" localSheetId="44" hidden="1">K!$C$3:$F$46</definedName>
    <definedName name="_xlnm._FilterDatabase" localSheetId="48" hidden="1">'Legende 1'!#REF!</definedName>
    <definedName name="_xlnm._FilterDatabase" localSheetId="49" hidden="1">'Legende 2'!#REF!</definedName>
    <definedName name="_xlnm._FilterDatabase" localSheetId="50" hidden="1">'Legende 3'!#REF!</definedName>
    <definedName name="_xlnm._FilterDatabase" localSheetId="10" hidden="1">'O10'!$C$3:$F$46</definedName>
    <definedName name="_xlnm._FilterDatabase" localSheetId="11" hidden="1">'O11'!$C$3:$F$46</definedName>
    <definedName name="_xlnm._FilterDatabase" localSheetId="12" hidden="1">'O12'!$C$3:$F$46</definedName>
    <definedName name="_xlnm._FilterDatabase" localSheetId="6" hidden="1">'U06'!$C$3:$F$46</definedName>
    <definedName name="_xlnm._FilterDatabase" localSheetId="7" hidden="1">'U07'!$C$3:$F$46</definedName>
    <definedName name="_xlnm._FilterDatabase" localSheetId="8" hidden="1">'U08'!$C$3:$F$46</definedName>
    <definedName name="_xlnm._FilterDatabase" localSheetId="9" hidden="1">'U09'!$C$3:$F$46</definedName>
    <definedName name="_Key1" localSheetId="13" hidden="1">#REF!</definedName>
    <definedName name="_Key1" localSheetId="14" hidden="1">#REF!</definedName>
    <definedName name="_Key1" localSheetId="15" hidden="1">#REF!</definedName>
    <definedName name="_Key1" localSheetId="16" hidden="1">#REF!</definedName>
    <definedName name="_Key1" localSheetId="17" hidden="1">#REF!</definedName>
    <definedName name="_Key1" localSheetId="18" hidden="1">#REF!</definedName>
    <definedName name="_Key1" localSheetId="19" hidden="1">#REF!</definedName>
    <definedName name="_Key1" localSheetId="20" hidden="1">#REF!</definedName>
    <definedName name="_Key1" localSheetId="21" hidden="1">#REF!</definedName>
    <definedName name="_Key1" localSheetId="22" hidden="1">#REF!</definedName>
    <definedName name="_Key1" localSheetId="23" hidden="1">#REF!</definedName>
    <definedName name="_Key1" localSheetId="24" hidden="1">#REF!</definedName>
    <definedName name="_Key1" localSheetId="25" hidden="1">#REF!</definedName>
    <definedName name="_Key1" localSheetId="26" hidden="1">#REF!</definedName>
    <definedName name="_Key1" localSheetId="27" hidden="1">#REF!</definedName>
    <definedName name="_Key1" localSheetId="28" hidden="1">#REF!</definedName>
    <definedName name="_Key1" localSheetId="29" hidden="1">#REF!</definedName>
    <definedName name="_Key1" localSheetId="30" hidden="1">#REF!</definedName>
    <definedName name="_Key1" localSheetId="31" hidden="1">#REF!</definedName>
    <definedName name="_Key1" localSheetId="32" hidden="1">#REF!</definedName>
    <definedName name="_Key1" localSheetId="33" hidden="1">#REF!</definedName>
    <definedName name="_Key1" localSheetId="34" hidden="1">#REF!</definedName>
    <definedName name="_Key1" localSheetId="35" hidden="1">#REF!</definedName>
    <definedName name="_Key1" localSheetId="36" hidden="1">#REF!</definedName>
    <definedName name="_Key1" localSheetId="37" hidden="1">#REF!</definedName>
    <definedName name="_Key1" localSheetId="38" hidden="1">#REF!</definedName>
    <definedName name="_Key1" localSheetId="39" hidden="1">#REF!</definedName>
    <definedName name="_Key1" localSheetId="40" hidden="1">#REF!</definedName>
    <definedName name="_Key1" localSheetId="41" hidden="1">#REF!</definedName>
    <definedName name="_Key1" localSheetId="42" hidden="1">#REF!</definedName>
    <definedName name="_Key1" localSheetId="43" hidden="1">#REF!</definedName>
    <definedName name="_Key1" localSheetId="45" hidden="1">#REF!</definedName>
    <definedName name="_Key1" localSheetId="1" hidden="1">#REF!</definedName>
    <definedName name="_Key1" localSheetId="2" hidden="1">#REF!</definedName>
    <definedName name="_Key1" localSheetId="3" hidden="1">#REF!</definedName>
    <definedName name="_Key1" localSheetId="4" hidden="1">#REF!</definedName>
    <definedName name="_Key1" localSheetId="5" hidden="1">#REF!</definedName>
    <definedName name="_Key1" localSheetId="0" hidden="1">#REF!</definedName>
    <definedName name="_Key1" localSheetId="44" hidden="1">#REF!</definedName>
    <definedName name="_Key1" localSheetId="48" hidden="1">#REF!</definedName>
    <definedName name="_Key1" localSheetId="49" hidden="1">#REF!</definedName>
    <definedName name="_Key1" localSheetId="50" hidden="1">#REF!</definedName>
    <definedName name="_Key1" localSheetId="10" hidden="1">#REF!</definedName>
    <definedName name="_Key1" localSheetId="11" hidden="1">#REF!</definedName>
    <definedName name="_Key1" localSheetId="12" hidden="1">#REF!</definedName>
    <definedName name="_Key1" localSheetId="47" hidden="1">#REF!</definedName>
    <definedName name="_Key1" localSheetId="6" hidden="1">#REF!</definedName>
    <definedName name="_Key1" localSheetId="7" hidden="1">#REF!</definedName>
    <definedName name="_Key1" localSheetId="8" hidden="1">#REF!</definedName>
    <definedName name="_Key1" localSheetId="9" hidden="1">#REF!</definedName>
    <definedName name="_Key1" hidden="1">#REF!</definedName>
    <definedName name="_Order1" hidden="1">255</definedName>
    <definedName name="_Sort" localSheetId="13" hidden="1">#REF!</definedName>
    <definedName name="_Sort" localSheetId="14" hidden="1">#REF!</definedName>
    <definedName name="_Sort" localSheetId="15" hidden="1">#REF!</definedName>
    <definedName name="_Sort" localSheetId="16" hidden="1">#REF!</definedName>
    <definedName name="_Sort" localSheetId="17" hidden="1">#REF!</definedName>
    <definedName name="_Sort" localSheetId="18" hidden="1">#REF!</definedName>
    <definedName name="_Sort" localSheetId="19" hidden="1">#REF!</definedName>
    <definedName name="_Sort" localSheetId="20" hidden="1">#REF!</definedName>
    <definedName name="_Sort" localSheetId="21" hidden="1">#REF!</definedName>
    <definedName name="_Sort" localSheetId="22" hidden="1">#REF!</definedName>
    <definedName name="_Sort" localSheetId="23" hidden="1">#REF!</definedName>
    <definedName name="_Sort" localSheetId="24" hidden="1">#REF!</definedName>
    <definedName name="_Sort" localSheetId="25" hidden="1">#REF!</definedName>
    <definedName name="_Sort" localSheetId="26" hidden="1">#REF!</definedName>
    <definedName name="_Sort" localSheetId="27" hidden="1">#REF!</definedName>
    <definedName name="_Sort" localSheetId="28" hidden="1">#REF!</definedName>
    <definedName name="_Sort" localSheetId="29" hidden="1">#REF!</definedName>
    <definedName name="_Sort" localSheetId="30" hidden="1">#REF!</definedName>
    <definedName name="_Sort" localSheetId="31" hidden="1">#REF!</definedName>
    <definedName name="_Sort" localSheetId="32" hidden="1">#REF!</definedName>
    <definedName name="_Sort" localSheetId="33" hidden="1">#REF!</definedName>
    <definedName name="_Sort" localSheetId="34" hidden="1">#REF!</definedName>
    <definedName name="_Sort" localSheetId="35" hidden="1">#REF!</definedName>
    <definedName name="_Sort" localSheetId="36" hidden="1">#REF!</definedName>
    <definedName name="_Sort" localSheetId="37" hidden="1">#REF!</definedName>
    <definedName name="_Sort" localSheetId="38" hidden="1">#REF!</definedName>
    <definedName name="_Sort" localSheetId="39" hidden="1">#REF!</definedName>
    <definedName name="_Sort" localSheetId="40" hidden="1">#REF!</definedName>
    <definedName name="_Sort" localSheetId="41" hidden="1">#REF!</definedName>
    <definedName name="_Sort" localSheetId="42" hidden="1">#REF!</definedName>
    <definedName name="_Sort" localSheetId="43" hidden="1">#REF!</definedName>
    <definedName name="_Sort" localSheetId="45" hidden="1">#REF!</definedName>
    <definedName name="_Sort" localSheetId="1" hidden="1">#REF!</definedName>
    <definedName name="_Sort" localSheetId="2" hidden="1">#REF!</definedName>
    <definedName name="_Sort" localSheetId="3" hidden="1">#REF!</definedName>
    <definedName name="_Sort" localSheetId="4" hidden="1">#REF!</definedName>
    <definedName name="_Sort" localSheetId="5" hidden="1">#REF!</definedName>
    <definedName name="_Sort" localSheetId="0" hidden="1">#REF!</definedName>
    <definedName name="_Sort" localSheetId="44" hidden="1">#REF!</definedName>
    <definedName name="_Sort" localSheetId="48" hidden="1">#REF!</definedName>
    <definedName name="_Sort" localSheetId="49" hidden="1">#REF!</definedName>
    <definedName name="_Sort" localSheetId="50" hidden="1">#REF!</definedName>
    <definedName name="_Sort" localSheetId="10" hidden="1">#REF!</definedName>
    <definedName name="_Sort" localSheetId="11" hidden="1">#REF!</definedName>
    <definedName name="_Sort" localSheetId="12" hidden="1">#REF!</definedName>
    <definedName name="_Sort" localSheetId="47" hidden="1">#REF!</definedName>
    <definedName name="_Sort" localSheetId="6" hidden="1">#REF!</definedName>
    <definedName name="_Sort" localSheetId="7" hidden="1">#REF!</definedName>
    <definedName name="_Sort" localSheetId="8" hidden="1">#REF!</definedName>
    <definedName name="_Sort" localSheetId="9" hidden="1">#REF!</definedName>
    <definedName name="_Sort" hidden="1">#REF!</definedName>
    <definedName name="_xlnm.Print_Area" localSheetId="13">'A01'!$A$1:$M$50</definedName>
    <definedName name="_xlnm.Print_Area" localSheetId="14">'A02'!$A$1:$M$50</definedName>
    <definedName name="_xlnm.Print_Area" localSheetId="15">'A03'!$A$1:$M$50</definedName>
    <definedName name="_xlnm.Print_Area" localSheetId="16">'A04'!$A$1:$M$50</definedName>
    <definedName name="_xlnm.Print_Area" localSheetId="17">'A05'!$A$1:$M$50</definedName>
    <definedName name="_xlnm.Print_Area" localSheetId="18">'A06'!$A$1:$M$50</definedName>
    <definedName name="_xlnm.Print_Area" localSheetId="19">'A07'!$A$1:$M$50</definedName>
    <definedName name="_xlnm.Print_Area" localSheetId="20">'A08'!$A$1:$M$50</definedName>
    <definedName name="_xlnm.Print_Area" localSheetId="21">'A09'!$A$1:$M$50</definedName>
    <definedName name="_xlnm.Print_Area" localSheetId="22">'A10'!$A$1:$M$50</definedName>
    <definedName name="_xlnm.Print_Area" localSheetId="23">'A11'!$A$1:$M$50</definedName>
    <definedName name="_xlnm.Print_Area" localSheetId="24">'A12'!$A$1:$M$50</definedName>
    <definedName name="_xlnm.Print_Area" localSheetId="25">'A13'!$A$1:$M$50</definedName>
    <definedName name="_xlnm.Print_Area" localSheetId="26">'A14'!$A$1:$M$50</definedName>
    <definedName name="_xlnm.Print_Area" localSheetId="27">'A15'!$A$1:$M$50</definedName>
    <definedName name="_xlnm.Print_Area" localSheetId="28">'A16'!$A$1:$M$50</definedName>
    <definedName name="_xlnm.Print_Area" localSheetId="29">'A17'!$A$1:$M$50</definedName>
    <definedName name="_xlnm.Print_Area" localSheetId="30">'A18'!$A$1:$M$50</definedName>
    <definedName name="_xlnm.Print_Area" localSheetId="31">'A19'!$A$1:$M$50</definedName>
    <definedName name="_xlnm.Print_Area" localSheetId="32">'A20'!$A$1:$M$50</definedName>
    <definedName name="_xlnm.Print_Area" localSheetId="33">'A21'!$A$1:$M$50</definedName>
    <definedName name="_xlnm.Print_Area" localSheetId="34">'A22'!$A$1:$M$50</definedName>
    <definedName name="_xlnm.Print_Area" localSheetId="35">'A23'!$A$1:$M$50</definedName>
    <definedName name="_xlnm.Print_Area" localSheetId="36">'A24'!$A$1:$M$50</definedName>
    <definedName name="_xlnm.Print_Area" localSheetId="37">'A25'!$A$1:$M$50</definedName>
    <definedName name="_xlnm.Print_Area" localSheetId="38">'A26'!$A$1:$M$50</definedName>
    <definedName name="_xlnm.Print_Area" localSheetId="39">'A27'!$A$1:$M$50</definedName>
    <definedName name="_xlnm.Print_Area" localSheetId="40">'A28'!$A$1:$M$50</definedName>
    <definedName name="_xlnm.Print_Area" localSheetId="41">'A29'!$A$1:$M$50</definedName>
    <definedName name="_xlnm.Print_Area" localSheetId="42">'A30'!$A$1:$M$50</definedName>
    <definedName name="_xlnm.Print_Area" localSheetId="43">'A31'!$A$1:$M$50</definedName>
    <definedName name="_xlnm.Print_Area" localSheetId="45">E!$A$1:$J$68</definedName>
    <definedName name="_xlnm.Print_Area" localSheetId="1">'E01'!$A$1:$M$50</definedName>
    <definedName name="_xlnm.Print_Area" localSheetId="2">'E02'!$A$1:$M$50</definedName>
    <definedName name="_xlnm.Print_Area" localSheetId="3">'E03'!$A$1:$M$50</definedName>
    <definedName name="_xlnm.Print_Area" localSheetId="4">'E04'!$A$1:$M$50</definedName>
    <definedName name="_xlnm.Print_Area" localSheetId="5">'E05'!$A$1:$M$50</definedName>
    <definedName name="_xlnm.Print_Area" localSheetId="0">EÜR!$C$2:$J$80</definedName>
    <definedName name="_xlnm.Print_Area" localSheetId="44">K!$A$1:$M$50</definedName>
    <definedName name="_xlnm.Print_Area" localSheetId="10">'O10'!$A$1:$M$50</definedName>
    <definedName name="_xlnm.Print_Area" localSheetId="11">'O11'!$A$1:$M$50</definedName>
    <definedName name="_xlnm.Print_Area" localSheetId="12">'O12'!$A$1:$M$50</definedName>
    <definedName name="_xlnm.Print_Area" localSheetId="6">'U06'!$A$1:$M$50</definedName>
    <definedName name="_xlnm.Print_Area" localSheetId="7">'U07'!$A$1:$M$50</definedName>
    <definedName name="_xlnm.Print_Area" localSheetId="8">'U08'!$A$1:$M$50</definedName>
    <definedName name="_xlnm.Print_Area" localSheetId="9">'U09'!$A$1:$M$50</definedName>
    <definedName name="_xlnm.Print_Titles" localSheetId="13">'A01'!$1:$3</definedName>
    <definedName name="_xlnm.Print_Titles" localSheetId="14">'A02'!$1:$3</definedName>
    <definedName name="_xlnm.Print_Titles" localSheetId="15">'A03'!$1:$3</definedName>
    <definedName name="_xlnm.Print_Titles" localSheetId="16">'A04'!$1:$3</definedName>
    <definedName name="_xlnm.Print_Titles" localSheetId="17">'A05'!$1:$3</definedName>
    <definedName name="_xlnm.Print_Titles" localSheetId="18">'A06'!$1:$3</definedName>
    <definedName name="_xlnm.Print_Titles" localSheetId="19">'A07'!$1:$3</definedName>
    <definedName name="_xlnm.Print_Titles" localSheetId="20">'A08'!$1:$3</definedName>
    <definedName name="_xlnm.Print_Titles" localSheetId="21">'A09'!$1:$3</definedName>
    <definedName name="_xlnm.Print_Titles" localSheetId="22">'A10'!$1:$3</definedName>
    <definedName name="_xlnm.Print_Titles" localSheetId="23">'A11'!$1:$3</definedName>
    <definedName name="_xlnm.Print_Titles" localSheetId="24">'A12'!$1:$3</definedName>
    <definedName name="_xlnm.Print_Titles" localSheetId="25">'A13'!$1:$3</definedName>
    <definedName name="_xlnm.Print_Titles" localSheetId="26">'A14'!$1:$3</definedName>
    <definedName name="_xlnm.Print_Titles" localSheetId="27">'A15'!$1:$3</definedName>
    <definedName name="_xlnm.Print_Titles" localSheetId="28">'A16'!$1:$3</definedName>
    <definedName name="_xlnm.Print_Titles" localSheetId="29">'A17'!$1:$3</definedName>
    <definedName name="_xlnm.Print_Titles" localSheetId="30">'A18'!$1:$3</definedName>
    <definedName name="_xlnm.Print_Titles" localSheetId="31">'A19'!$1:$3</definedName>
    <definedName name="_xlnm.Print_Titles" localSheetId="32">'A20'!$1:$3</definedName>
    <definedName name="_xlnm.Print_Titles" localSheetId="33">'A21'!$1:$3</definedName>
    <definedName name="_xlnm.Print_Titles" localSheetId="34">'A22'!$1:$3</definedName>
    <definedName name="_xlnm.Print_Titles" localSheetId="35">'A23'!$1:$3</definedName>
    <definedName name="_xlnm.Print_Titles" localSheetId="36">'A24'!$1:$3</definedName>
    <definedName name="_xlnm.Print_Titles" localSheetId="37">'A25'!$1:$3</definedName>
    <definedName name="_xlnm.Print_Titles" localSheetId="38">'A26'!$1:$3</definedName>
    <definedName name="_xlnm.Print_Titles" localSheetId="39">'A27'!$1:$3</definedName>
    <definedName name="_xlnm.Print_Titles" localSheetId="40">'A28'!$1:$3</definedName>
    <definedName name="_xlnm.Print_Titles" localSheetId="41">'A29'!$1:$3</definedName>
    <definedName name="_xlnm.Print_Titles" localSheetId="42">'A30'!$1:$3</definedName>
    <definedName name="_xlnm.Print_Titles" localSheetId="43">'A31'!$1:$3</definedName>
    <definedName name="_xlnm.Print_Titles" localSheetId="45">E!$1:$3</definedName>
    <definedName name="_xlnm.Print_Titles" localSheetId="1">'E01'!$1:$3</definedName>
    <definedName name="_xlnm.Print_Titles" localSheetId="2">'E02'!$1:$3</definedName>
    <definedName name="_xlnm.Print_Titles" localSheetId="3">'E03'!$1:$3</definedName>
    <definedName name="_xlnm.Print_Titles" localSheetId="4">'E04'!$1:$3</definedName>
    <definedName name="_xlnm.Print_Titles" localSheetId="5">'E05'!$1:$3</definedName>
    <definedName name="_xlnm.Print_Titles" localSheetId="0">EÜR!$1:$4</definedName>
    <definedName name="_xlnm.Print_Titles" localSheetId="44">K!$1:$3</definedName>
    <definedName name="_xlnm.Print_Titles" localSheetId="10">'O10'!$1:$3</definedName>
    <definedName name="_xlnm.Print_Titles" localSheetId="11">'O11'!$1:$3</definedName>
    <definedName name="_xlnm.Print_Titles" localSheetId="12">'O12'!$1:$3</definedName>
    <definedName name="_xlnm.Print_Titles" localSheetId="47">U!$1:$6</definedName>
    <definedName name="_xlnm.Print_Titles" localSheetId="6">'U06'!$1:$3</definedName>
    <definedName name="_xlnm.Print_Titles" localSheetId="7">'U07'!$1:$3</definedName>
    <definedName name="_xlnm.Print_Titles" localSheetId="8">'U08'!$1:$3</definedName>
    <definedName name="_xlnm.Print_Titles" localSheetId="9">'U09'!$1:$3</definedName>
    <definedName name="Print_Titles" localSheetId="13">'A01'!$1:$3</definedName>
    <definedName name="Print_Titles" localSheetId="14">'A02'!$1:$3</definedName>
    <definedName name="Print_Titles" localSheetId="15">'A03'!$1:$3</definedName>
    <definedName name="Print_Titles" localSheetId="16">'A04'!$1:$3</definedName>
    <definedName name="Print_Titles" localSheetId="17">'A05'!$1:$3</definedName>
    <definedName name="Print_Titles" localSheetId="18">'A06'!$1:$3</definedName>
    <definedName name="Print_Titles" localSheetId="19">'A07'!$1:$3</definedName>
    <definedName name="Print_Titles" localSheetId="20">'A08'!$1:$3</definedName>
    <definedName name="Print_Titles" localSheetId="21">'A09'!$1:$3</definedName>
    <definedName name="Print_Titles" localSheetId="22">'A10'!$1:$3</definedName>
    <definedName name="Print_Titles" localSheetId="23">'A11'!$1:$3</definedName>
    <definedName name="Print_Titles" localSheetId="24">'A12'!$1:$3</definedName>
    <definedName name="Print_Titles" localSheetId="25">'A13'!$1:$3</definedName>
    <definedName name="Print_Titles" localSheetId="26">'A14'!$1:$3</definedName>
    <definedName name="Print_Titles" localSheetId="27">'A15'!$1:$3</definedName>
    <definedName name="Print_Titles" localSheetId="28">'A16'!$1:$3</definedName>
    <definedName name="Print_Titles" localSheetId="29">'A17'!$1:$3</definedName>
    <definedName name="Print_Titles" localSheetId="30">'A18'!$1:$3</definedName>
    <definedName name="Print_Titles" localSheetId="31">'A19'!$1:$3</definedName>
    <definedName name="Print_Titles" localSheetId="32">'A20'!$1:$3</definedName>
    <definedName name="Print_Titles" localSheetId="33">'A21'!$1:$3</definedName>
    <definedName name="Print_Titles" localSheetId="34">'A22'!$1:$3</definedName>
    <definedName name="Print_Titles" localSheetId="35">'A23'!$1:$3</definedName>
    <definedName name="Print_Titles" localSheetId="36">'A24'!$1:$3</definedName>
    <definedName name="Print_Titles" localSheetId="37">'A25'!$1:$3</definedName>
    <definedName name="Print_Titles" localSheetId="38">'A26'!$1:$3</definedName>
    <definedName name="Print_Titles" localSheetId="39">'A27'!$1:$3</definedName>
    <definedName name="Print_Titles" localSheetId="40">'A28'!$1:$3</definedName>
    <definedName name="Print_Titles" localSheetId="41">'A29'!$1:$3</definedName>
    <definedName name="Print_Titles" localSheetId="42">'A30'!$1:$3</definedName>
    <definedName name="Print_Titles" localSheetId="43">'A31'!$1:$3</definedName>
    <definedName name="Print_Titles" localSheetId="45">E!$1:$3</definedName>
    <definedName name="Print_Titles" localSheetId="1">'E01'!$1:$3</definedName>
    <definedName name="Print_Titles" localSheetId="2">'E02'!$1:$3</definedName>
    <definedName name="Print_Titles" localSheetId="3">'E03'!$1:$3</definedName>
    <definedName name="Print_Titles" localSheetId="4">'E04'!$1:$3</definedName>
    <definedName name="Print_Titles" localSheetId="5">'E05'!$1:$3</definedName>
    <definedName name="Print_Titles" localSheetId="44">K!$1:$3</definedName>
    <definedName name="Print_Titles" localSheetId="10">'O10'!$1:$3</definedName>
    <definedName name="Print_Titles" localSheetId="11">'O11'!$1:$3</definedName>
    <definedName name="Print_Titles" localSheetId="12">'O12'!$1:$3</definedName>
    <definedName name="Print_Titles" localSheetId="6">'U06'!$1:$3</definedName>
    <definedName name="Print_Titles" localSheetId="7">'U07'!$1:$3</definedName>
    <definedName name="Print_Titles" localSheetId="8">'U08'!$1:$3</definedName>
    <definedName name="Print_Titles" localSheetId="9">'U09'!$1:$3</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1" i="105" l="1"/>
  <c r="F37" i="105"/>
  <c r="G37" i="105"/>
  <c r="H37" i="105"/>
  <c r="I37" i="105"/>
  <c r="J37" i="105"/>
  <c r="K37" i="105"/>
  <c r="L37" i="105"/>
  <c r="D37" i="105"/>
  <c r="B2" i="105" l="1"/>
  <c r="C36" i="105" s="1"/>
  <c r="C43" i="105"/>
  <c r="C42" i="105"/>
  <c r="L39" i="105"/>
  <c r="K39" i="105"/>
  <c r="J39" i="105"/>
  <c r="I39" i="105"/>
  <c r="H39" i="105"/>
  <c r="G39" i="105"/>
  <c r="E39" i="105"/>
  <c r="L38" i="105"/>
  <c r="K38" i="105"/>
  <c r="J38" i="105"/>
  <c r="I38" i="105"/>
  <c r="H38" i="105"/>
  <c r="G38" i="105"/>
  <c r="F38" i="105"/>
  <c r="D38" i="105"/>
  <c r="L35" i="105"/>
  <c r="L1" i="105" s="1"/>
  <c r="K35" i="105"/>
  <c r="J35" i="105"/>
  <c r="I35" i="105"/>
  <c r="H35" i="105"/>
  <c r="G35" i="105"/>
  <c r="F35" i="105"/>
  <c r="E35" i="105"/>
  <c r="D35" i="105"/>
  <c r="L29" i="105"/>
  <c r="K29" i="105"/>
  <c r="J29" i="105"/>
  <c r="I29" i="105"/>
  <c r="H29" i="105"/>
  <c r="G29" i="105"/>
  <c r="L25" i="105"/>
  <c r="K25" i="105"/>
  <c r="J25" i="105"/>
  <c r="H25" i="105"/>
  <c r="G25" i="105"/>
  <c r="F25" i="105"/>
  <c r="E25" i="105"/>
  <c r="D25" i="105"/>
  <c r="L24" i="105"/>
  <c r="K24" i="105"/>
  <c r="J24" i="105"/>
  <c r="I24" i="105"/>
  <c r="H24" i="105"/>
  <c r="G24" i="105"/>
  <c r="F24" i="105"/>
  <c r="E24" i="105"/>
  <c r="D24" i="105"/>
  <c r="L23" i="105"/>
  <c r="L14" i="105" s="1"/>
  <c r="K23" i="105"/>
  <c r="K14" i="105" s="1"/>
  <c r="J23" i="105"/>
  <c r="J14" i="105" s="1"/>
  <c r="I23" i="105"/>
  <c r="I14" i="105" s="1"/>
  <c r="H23" i="105"/>
  <c r="H14" i="105" s="1"/>
  <c r="G23" i="105"/>
  <c r="G14" i="105" s="1"/>
  <c r="F23" i="105"/>
  <c r="F14" i="105" s="1"/>
  <c r="E23" i="105"/>
  <c r="E14" i="105" s="1"/>
  <c r="D23" i="105"/>
  <c r="D14" i="105" s="1"/>
  <c r="F18" i="105"/>
  <c r="F26" i="105" s="1"/>
  <c r="F36" i="105" s="1"/>
  <c r="F39" i="105" s="1"/>
  <c r="L13" i="105"/>
  <c r="K13" i="105"/>
  <c r="K18" i="105" s="1"/>
  <c r="J13" i="105"/>
  <c r="J18" i="105" s="1"/>
  <c r="I13" i="105"/>
  <c r="I18" i="105" s="1"/>
  <c r="H13" i="105"/>
  <c r="H18" i="105" s="1"/>
  <c r="G13" i="105"/>
  <c r="G18" i="105" s="1"/>
  <c r="F13" i="105"/>
  <c r="E13" i="105"/>
  <c r="E18" i="105" s="1"/>
  <c r="E26" i="105" s="1"/>
  <c r="D13" i="105"/>
  <c r="D18" i="105" s="1"/>
  <c r="D26" i="105" s="1"/>
  <c r="L12" i="105"/>
  <c r="K12" i="105"/>
  <c r="A1" i="105"/>
  <c r="L18" i="105" l="1"/>
  <c r="L19" i="105" s="1"/>
  <c r="L32" i="105" s="1"/>
  <c r="D19" i="105"/>
  <c r="D32" i="105" s="1"/>
  <c r="F19" i="105"/>
  <c r="F32" i="105" s="1"/>
  <c r="F29" i="105"/>
  <c r="D22" i="105"/>
  <c r="E19" i="105"/>
  <c r="E32" i="105" s="1"/>
  <c r="C26" i="105"/>
  <c r="C24" i="105"/>
  <c r="C25" i="105"/>
  <c r="B40" i="105"/>
  <c r="C18" i="105"/>
  <c r="J26" i="105"/>
  <c r="J36" i="105" s="1"/>
  <c r="E29" i="105"/>
  <c r="E36" i="105"/>
  <c r="G26" i="105"/>
  <c r="G36" i="105" s="1"/>
  <c r="H26" i="105"/>
  <c r="H36" i="105" s="1"/>
  <c r="K26" i="105"/>
  <c r="K36" i="105" s="1"/>
  <c r="D36" i="105"/>
  <c r="D39" i="105" s="1"/>
  <c r="D43" i="105" s="1"/>
  <c r="I43" i="105" s="1"/>
  <c r="D29" i="105"/>
  <c r="I26" i="105"/>
  <c r="I36" i="105" s="1"/>
  <c r="L26" i="105"/>
  <c r="L36" i="105" s="1"/>
  <c r="G19" i="105"/>
  <c r="H19" i="105"/>
  <c r="H32" i="105" s="1"/>
  <c r="J19" i="105"/>
  <c r="J32" i="105" s="1"/>
  <c r="I19" i="105"/>
  <c r="I32" i="105" s="1"/>
  <c r="K19" i="105"/>
  <c r="K32" i="105" s="1"/>
  <c r="E38" i="105" l="1"/>
  <c r="D42" i="105" s="1"/>
  <c r="E37" i="105"/>
  <c r="D41" i="105" s="1"/>
  <c r="D30" i="105"/>
  <c r="B19" i="105"/>
  <c r="G32" i="105"/>
  <c r="I41" i="105" l="1"/>
  <c r="D40" i="105"/>
  <c r="I42" i="105"/>
  <c r="K42" i="105"/>
  <c r="I5" i="89"/>
  <c r="I6" i="89"/>
  <c r="I7" i="89"/>
  <c r="I8" i="89"/>
  <c r="I9" i="89"/>
  <c r="I9" i="111"/>
  <c r="I7" i="84"/>
  <c r="I13" i="81"/>
  <c r="I8" i="74"/>
  <c r="I9" i="74"/>
  <c r="I10" i="74"/>
  <c r="I11" i="74"/>
  <c r="I4" i="109"/>
  <c r="H70" i="38"/>
  <c r="I72" i="38"/>
  <c r="H45" i="97"/>
  <c r="I45" i="97"/>
  <c r="K40" i="105" l="1"/>
  <c r="L40" i="105"/>
  <c r="J45" i="97"/>
  <c r="B68" i="97"/>
  <c r="Q42" i="97" s="1"/>
  <c r="P18" i="97"/>
  <c r="J40" i="105" l="1"/>
  <c r="E40" i="105" s="1"/>
  <c r="H68" i="97"/>
  <c r="B46" i="97"/>
  <c r="G56" i="97"/>
  <c r="R67" i="97" s="1"/>
  <c r="G57" i="97"/>
  <c r="S67" i="97" s="1"/>
  <c r="G58" i="97"/>
  <c r="T67" i="97" s="1"/>
  <c r="G59" i="97"/>
  <c r="U67" i="97" s="1"/>
  <c r="G60" i="97"/>
  <c r="V67" i="97" s="1"/>
  <c r="G61" i="97"/>
  <c r="W67" i="97" s="1"/>
  <c r="G62" i="97"/>
  <c r="X67" i="97" s="1"/>
  <c r="G63" i="97"/>
  <c r="Y67" i="97" s="1"/>
  <c r="G64" i="97"/>
  <c r="Z67" i="97" s="1"/>
  <c r="G65" i="97"/>
  <c r="AA67" i="97" s="1"/>
  <c r="G66" i="97"/>
  <c r="AB67" i="97" s="1"/>
  <c r="G55" i="97"/>
  <c r="Q67" i="97" s="1"/>
  <c r="E56" i="97"/>
  <c r="E57" i="97"/>
  <c r="E58" i="97"/>
  <c r="E59" i="97"/>
  <c r="E60" i="97"/>
  <c r="E61" i="97"/>
  <c r="E62" i="97"/>
  <c r="E63" i="97"/>
  <c r="E64" i="97"/>
  <c r="E65" i="97"/>
  <c r="E66" i="97"/>
  <c r="E55" i="97"/>
  <c r="AC67" i="97" l="1"/>
  <c r="E68" i="97"/>
  <c r="AC68" i="97" s="1"/>
  <c r="I17" i="73"/>
  <c r="I18" i="73"/>
  <c r="I19" i="73"/>
  <c r="I20" i="73"/>
  <c r="I21" i="73"/>
  <c r="I22" i="73"/>
  <c r="I23" i="73"/>
  <c r="I24" i="73"/>
  <c r="I25" i="73"/>
  <c r="I26" i="73"/>
  <c r="I27" i="73"/>
  <c r="I28" i="73"/>
  <c r="I78" i="38" l="1"/>
  <c r="Q2" i="97"/>
  <c r="O2" i="102"/>
  <c r="O3" i="102" s="1"/>
  <c r="P2" i="102" s="1"/>
  <c r="P3" i="102" s="1"/>
  <c r="Q2" i="102" s="1"/>
  <c r="Q3" i="102" s="1"/>
  <c r="R2" i="102" s="1"/>
  <c r="R3" i="102" s="1"/>
  <c r="S2" i="102" s="1"/>
  <c r="S3" i="102" s="1"/>
  <c r="T2" i="102" s="1"/>
  <c r="T3" i="102" s="1"/>
  <c r="U2" i="102" s="1"/>
  <c r="U3" i="102" s="1"/>
  <c r="V2" i="102" s="1"/>
  <c r="V3" i="102" s="1"/>
  <c r="W2" i="102" s="1"/>
  <c r="W3" i="102" s="1"/>
  <c r="X2" i="102" s="1"/>
  <c r="X3" i="102" s="1"/>
  <c r="Y2" i="102" s="1"/>
  <c r="Y3" i="102" s="1"/>
  <c r="Z2" i="102" s="1"/>
  <c r="Z3" i="102" s="1"/>
  <c r="O2" i="103"/>
  <c r="O3" i="103" s="1"/>
  <c r="P2" i="103" s="1"/>
  <c r="P3" i="103" s="1"/>
  <c r="Q2" i="103" s="1"/>
  <c r="Q3" i="103" s="1"/>
  <c r="R2" i="103" s="1"/>
  <c r="R3" i="103" s="1"/>
  <c r="S2" i="103" s="1"/>
  <c r="S3" i="103" s="1"/>
  <c r="T2" i="103" s="1"/>
  <c r="T3" i="103" s="1"/>
  <c r="U2" i="103" s="1"/>
  <c r="U3" i="103" s="1"/>
  <c r="V2" i="103" s="1"/>
  <c r="V3" i="103" s="1"/>
  <c r="W2" i="103" s="1"/>
  <c r="W3" i="103" s="1"/>
  <c r="X2" i="103" s="1"/>
  <c r="X3" i="103" s="1"/>
  <c r="Y2" i="103" s="1"/>
  <c r="Y3" i="103" s="1"/>
  <c r="Z2" i="103" s="1"/>
  <c r="Z3" i="103" s="1"/>
  <c r="O2" i="104"/>
  <c r="O3" i="104" s="1"/>
  <c r="P2" i="104" s="1"/>
  <c r="P3" i="104" s="1"/>
  <c r="Q2" i="104" s="1"/>
  <c r="Q3" i="104" s="1"/>
  <c r="R2" i="104" s="1"/>
  <c r="R3" i="104" s="1"/>
  <c r="S2" i="104" s="1"/>
  <c r="S3" i="104" s="1"/>
  <c r="T2" i="104" s="1"/>
  <c r="T3" i="104" s="1"/>
  <c r="U2" i="104" s="1"/>
  <c r="U3" i="104" s="1"/>
  <c r="V2" i="104" s="1"/>
  <c r="V3" i="104" s="1"/>
  <c r="W2" i="104" s="1"/>
  <c r="W3" i="104" s="1"/>
  <c r="X2" i="104" s="1"/>
  <c r="X3" i="104" s="1"/>
  <c r="Y2" i="104" s="1"/>
  <c r="Y3" i="104" s="1"/>
  <c r="Z2" i="104" s="1"/>
  <c r="Z3" i="104" s="1"/>
  <c r="O2" i="100"/>
  <c r="O3" i="100" s="1"/>
  <c r="P2" i="100" s="1"/>
  <c r="P3" i="100" s="1"/>
  <c r="Q2" i="100" s="1"/>
  <c r="Q3" i="100" s="1"/>
  <c r="R2" i="100" s="1"/>
  <c r="R3" i="100" s="1"/>
  <c r="S2" i="100" s="1"/>
  <c r="S3" i="100" s="1"/>
  <c r="T2" i="100" s="1"/>
  <c r="T3" i="100" s="1"/>
  <c r="U2" i="100" s="1"/>
  <c r="U3" i="100" s="1"/>
  <c r="V2" i="100" s="1"/>
  <c r="V3" i="100" s="1"/>
  <c r="W2" i="100" s="1"/>
  <c r="W3" i="100" s="1"/>
  <c r="X2" i="100" s="1"/>
  <c r="X3" i="100" s="1"/>
  <c r="Y2" i="100" s="1"/>
  <c r="Y3" i="100" s="1"/>
  <c r="Z2" i="100" s="1"/>
  <c r="Z3" i="100" s="1"/>
  <c r="O2" i="101"/>
  <c r="O3" i="101" s="1"/>
  <c r="P2" i="101" s="1"/>
  <c r="P3" i="101" s="1"/>
  <c r="Q2" i="101" s="1"/>
  <c r="Q3" i="101" s="1"/>
  <c r="R2" i="101" s="1"/>
  <c r="R3" i="101" s="1"/>
  <c r="S2" i="101" s="1"/>
  <c r="S3" i="101" s="1"/>
  <c r="T2" i="101" s="1"/>
  <c r="T3" i="101" s="1"/>
  <c r="U2" i="101" s="1"/>
  <c r="U3" i="101" s="1"/>
  <c r="V2" i="101" s="1"/>
  <c r="V3" i="101" s="1"/>
  <c r="W2" i="101" s="1"/>
  <c r="W3" i="101" s="1"/>
  <c r="X2" i="101" s="1"/>
  <c r="X3" i="101" s="1"/>
  <c r="Y2" i="101" s="1"/>
  <c r="Y3" i="101" s="1"/>
  <c r="Z2" i="101" s="1"/>
  <c r="Z3" i="101" s="1"/>
  <c r="O2" i="87"/>
  <c r="O3" i="87" s="1"/>
  <c r="P2" i="87" s="1"/>
  <c r="P3" i="87" s="1"/>
  <c r="Q2" i="87" s="1"/>
  <c r="Q3" i="87" s="1"/>
  <c r="R2" i="87" s="1"/>
  <c r="R3" i="87" s="1"/>
  <c r="S2" i="87" s="1"/>
  <c r="S3" i="87" s="1"/>
  <c r="T2" i="87" s="1"/>
  <c r="T3" i="87" s="1"/>
  <c r="U2" i="87" s="1"/>
  <c r="U3" i="87" s="1"/>
  <c r="V2" i="87" s="1"/>
  <c r="V3" i="87" s="1"/>
  <c r="W2" i="87" s="1"/>
  <c r="W3" i="87" s="1"/>
  <c r="X2" i="87" s="1"/>
  <c r="X3" i="87" s="1"/>
  <c r="Y2" i="87" s="1"/>
  <c r="Y3" i="87" s="1"/>
  <c r="Z2" i="87" s="1"/>
  <c r="Z3" i="87" s="1"/>
  <c r="O2" i="88"/>
  <c r="O3" i="88" s="1"/>
  <c r="P2" i="88" s="1"/>
  <c r="P3" i="88" s="1"/>
  <c r="Q2" i="88" s="1"/>
  <c r="Q3" i="88" s="1"/>
  <c r="R2" i="88" s="1"/>
  <c r="R3" i="88" s="1"/>
  <c r="S2" i="88" s="1"/>
  <c r="S3" i="88" s="1"/>
  <c r="T2" i="88" s="1"/>
  <c r="T3" i="88" s="1"/>
  <c r="U2" i="88" s="1"/>
  <c r="U3" i="88" s="1"/>
  <c r="V2" i="88" s="1"/>
  <c r="V3" i="88" s="1"/>
  <c r="W2" i="88" s="1"/>
  <c r="W3" i="88" s="1"/>
  <c r="X2" i="88" s="1"/>
  <c r="X3" i="88" s="1"/>
  <c r="Y2" i="88" s="1"/>
  <c r="Y3" i="88" s="1"/>
  <c r="Z2" i="88" s="1"/>
  <c r="Z3" i="88" s="1"/>
  <c r="O2" i="69"/>
  <c r="O3" i="69" s="1"/>
  <c r="P2" i="69" s="1"/>
  <c r="P3" i="69" s="1"/>
  <c r="Q2" i="69" s="1"/>
  <c r="Q3" i="69" s="1"/>
  <c r="R2" i="69" s="1"/>
  <c r="R3" i="69" s="1"/>
  <c r="S2" i="69" s="1"/>
  <c r="S3" i="69" s="1"/>
  <c r="T2" i="69" s="1"/>
  <c r="T3" i="69" s="1"/>
  <c r="U2" i="69" s="1"/>
  <c r="U3" i="69" s="1"/>
  <c r="V2" i="69" s="1"/>
  <c r="V3" i="69" s="1"/>
  <c r="W2" i="69" s="1"/>
  <c r="W3" i="69" s="1"/>
  <c r="X2" i="69" s="1"/>
  <c r="X3" i="69" s="1"/>
  <c r="Y2" i="69" s="1"/>
  <c r="Y3" i="69" s="1"/>
  <c r="Z2" i="69" s="1"/>
  <c r="Z3" i="69" s="1"/>
  <c r="O2" i="70"/>
  <c r="O3" i="70" s="1"/>
  <c r="P2" i="70" s="1"/>
  <c r="P3" i="70" s="1"/>
  <c r="Q2" i="70" s="1"/>
  <c r="Q3" i="70" s="1"/>
  <c r="R2" i="70" s="1"/>
  <c r="R3" i="70" s="1"/>
  <c r="S2" i="70" s="1"/>
  <c r="S3" i="70" s="1"/>
  <c r="T2" i="70" s="1"/>
  <c r="T3" i="70" s="1"/>
  <c r="U2" i="70" s="1"/>
  <c r="U3" i="70" s="1"/>
  <c r="V2" i="70" s="1"/>
  <c r="V3" i="70" s="1"/>
  <c r="W2" i="70" s="1"/>
  <c r="W3" i="70" s="1"/>
  <c r="X2" i="70" s="1"/>
  <c r="X3" i="70" s="1"/>
  <c r="Y2" i="70" s="1"/>
  <c r="Y3" i="70" s="1"/>
  <c r="Z2" i="70" s="1"/>
  <c r="Z3" i="70" s="1"/>
  <c r="O2" i="71"/>
  <c r="O3" i="71" s="1"/>
  <c r="P2" i="71" s="1"/>
  <c r="P3" i="71" s="1"/>
  <c r="Q2" i="71" s="1"/>
  <c r="Q3" i="71" s="1"/>
  <c r="R2" i="71" s="1"/>
  <c r="R3" i="71" s="1"/>
  <c r="S2" i="71" s="1"/>
  <c r="S3" i="71" s="1"/>
  <c r="T2" i="71" s="1"/>
  <c r="T3" i="71" s="1"/>
  <c r="U2" i="71" s="1"/>
  <c r="U3" i="71" s="1"/>
  <c r="V2" i="71" s="1"/>
  <c r="V3" i="71" s="1"/>
  <c r="W2" i="71" s="1"/>
  <c r="W3" i="71" s="1"/>
  <c r="X2" i="71" s="1"/>
  <c r="X3" i="71" s="1"/>
  <c r="Y2" i="71" s="1"/>
  <c r="Y3" i="71" s="1"/>
  <c r="Z2" i="71" s="1"/>
  <c r="Z3" i="71" s="1"/>
  <c r="O2" i="65"/>
  <c r="O3" i="65" s="1"/>
  <c r="P2" i="65" s="1"/>
  <c r="P3" i="65" s="1"/>
  <c r="Q2" i="65" s="1"/>
  <c r="Q3" i="65" s="1"/>
  <c r="R2" i="65" s="1"/>
  <c r="R3" i="65" s="1"/>
  <c r="S2" i="65" s="1"/>
  <c r="S3" i="65" s="1"/>
  <c r="T2" i="65" s="1"/>
  <c r="T3" i="65" s="1"/>
  <c r="U2" i="65" s="1"/>
  <c r="U3" i="65" s="1"/>
  <c r="V2" i="65" s="1"/>
  <c r="V3" i="65" s="1"/>
  <c r="W2" i="65" s="1"/>
  <c r="W3" i="65" s="1"/>
  <c r="X2" i="65" s="1"/>
  <c r="X3" i="65" s="1"/>
  <c r="Y2" i="65" s="1"/>
  <c r="Y3" i="65" s="1"/>
  <c r="Z2" i="65" s="1"/>
  <c r="Z3" i="65" s="1"/>
  <c r="O2" i="67"/>
  <c r="O3" i="67" s="1"/>
  <c r="P2" i="67" s="1"/>
  <c r="P3" i="67" s="1"/>
  <c r="Q2" i="67" s="1"/>
  <c r="Q3" i="67" s="1"/>
  <c r="R2" i="67" s="1"/>
  <c r="R3" i="67" s="1"/>
  <c r="S2" i="67" s="1"/>
  <c r="S3" i="67" s="1"/>
  <c r="T2" i="67" s="1"/>
  <c r="T3" i="67" s="1"/>
  <c r="U2" i="67" s="1"/>
  <c r="U3" i="67" s="1"/>
  <c r="V2" i="67" s="1"/>
  <c r="V3" i="67" s="1"/>
  <c r="W2" i="67" s="1"/>
  <c r="W3" i="67" s="1"/>
  <c r="X2" i="67" s="1"/>
  <c r="X3" i="67" s="1"/>
  <c r="Y2" i="67" s="1"/>
  <c r="Y3" i="67" s="1"/>
  <c r="Z2" i="67" s="1"/>
  <c r="Z3" i="67" s="1"/>
  <c r="O2" i="68"/>
  <c r="O3" i="68" s="1"/>
  <c r="P2" i="68" s="1"/>
  <c r="P3" i="68" s="1"/>
  <c r="Q2" i="68" s="1"/>
  <c r="Q3" i="68" s="1"/>
  <c r="R2" i="68" s="1"/>
  <c r="R3" i="68" s="1"/>
  <c r="S2" i="68" s="1"/>
  <c r="S3" i="68" s="1"/>
  <c r="T2" i="68" s="1"/>
  <c r="T3" i="68" s="1"/>
  <c r="U2" i="68" s="1"/>
  <c r="U3" i="68" s="1"/>
  <c r="V2" i="68" s="1"/>
  <c r="V3" i="68" s="1"/>
  <c r="W2" i="68" s="1"/>
  <c r="W3" i="68" s="1"/>
  <c r="X2" i="68" s="1"/>
  <c r="X3" i="68" s="1"/>
  <c r="Y2" i="68" s="1"/>
  <c r="Y3" i="68" s="1"/>
  <c r="Z2" i="68" s="1"/>
  <c r="Z3" i="68" s="1"/>
  <c r="O2" i="107"/>
  <c r="O3" i="107" s="1"/>
  <c r="P2" i="107" s="1"/>
  <c r="P3" i="107" s="1"/>
  <c r="Q2" i="107" s="1"/>
  <c r="Q3" i="107" s="1"/>
  <c r="R2" i="107" s="1"/>
  <c r="R3" i="107" s="1"/>
  <c r="S2" i="107" s="1"/>
  <c r="S3" i="107" s="1"/>
  <c r="T2" i="107" s="1"/>
  <c r="T3" i="107" s="1"/>
  <c r="U2" i="107" s="1"/>
  <c r="U3" i="107" s="1"/>
  <c r="V2" i="107" s="1"/>
  <c r="V3" i="107" s="1"/>
  <c r="W2" i="107" s="1"/>
  <c r="W3" i="107" s="1"/>
  <c r="X2" i="107" s="1"/>
  <c r="X3" i="107" s="1"/>
  <c r="Y2" i="107" s="1"/>
  <c r="Y3" i="107" s="1"/>
  <c r="Z2" i="107" s="1"/>
  <c r="Z3" i="107" s="1"/>
  <c r="O2" i="108"/>
  <c r="O3" i="108" s="1"/>
  <c r="P2" i="108" s="1"/>
  <c r="P3" i="108" s="1"/>
  <c r="Q2" i="108" s="1"/>
  <c r="Q3" i="108" s="1"/>
  <c r="R2" i="108" s="1"/>
  <c r="R3" i="108" s="1"/>
  <c r="S2" i="108" s="1"/>
  <c r="S3" i="108" s="1"/>
  <c r="T2" i="108" s="1"/>
  <c r="T3" i="108" s="1"/>
  <c r="U2" i="108" s="1"/>
  <c r="U3" i="108" s="1"/>
  <c r="V2" i="108" s="1"/>
  <c r="V3" i="108" s="1"/>
  <c r="W2" i="108" s="1"/>
  <c r="W3" i="108" s="1"/>
  <c r="X2" i="108" s="1"/>
  <c r="X3" i="108" s="1"/>
  <c r="Y2" i="108" s="1"/>
  <c r="Y3" i="108" s="1"/>
  <c r="Z2" i="108" s="1"/>
  <c r="Z3" i="108" s="1"/>
  <c r="O2" i="109"/>
  <c r="O3" i="109" s="1"/>
  <c r="P2" i="109" s="1"/>
  <c r="P3" i="109" s="1"/>
  <c r="Q2" i="109" s="1"/>
  <c r="Q3" i="109" s="1"/>
  <c r="R2" i="109" s="1"/>
  <c r="R3" i="109" s="1"/>
  <c r="S2" i="109" s="1"/>
  <c r="S3" i="109" s="1"/>
  <c r="T2" i="109" s="1"/>
  <c r="T3" i="109" s="1"/>
  <c r="U2" i="109" s="1"/>
  <c r="U3" i="109" s="1"/>
  <c r="V2" i="109" s="1"/>
  <c r="V3" i="109" s="1"/>
  <c r="W2" i="109" s="1"/>
  <c r="W3" i="109" s="1"/>
  <c r="X2" i="109" s="1"/>
  <c r="X3" i="109" s="1"/>
  <c r="Y2" i="109" s="1"/>
  <c r="Y3" i="109" s="1"/>
  <c r="Z2" i="109" s="1"/>
  <c r="Z3" i="109" s="1"/>
  <c r="O2" i="72"/>
  <c r="O3" i="72" s="1"/>
  <c r="P2" i="72" s="1"/>
  <c r="P3" i="72" s="1"/>
  <c r="Q2" i="72" s="1"/>
  <c r="Q3" i="72" s="1"/>
  <c r="R2" i="72" s="1"/>
  <c r="R3" i="72" s="1"/>
  <c r="S2" i="72" s="1"/>
  <c r="S3" i="72" s="1"/>
  <c r="T2" i="72" s="1"/>
  <c r="T3" i="72" s="1"/>
  <c r="U2" i="72" s="1"/>
  <c r="U3" i="72" s="1"/>
  <c r="V2" i="72" s="1"/>
  <c r="V3" i="72" s="1"/>
  <c r="W2" i="72" s="1"/>
  <c r="W3" i="72" s="1"/>
  <c r="X2" i="72" s="1"/>
  <c r="X3" i="72" s="1"/>
  <c r="Y2" i="72" s="1"/>
  <c r="Y3" i="72" s="1"/>
  <c r="Z2" i="72" s="1"/>
  <c r="Z3" i="72" s="1"/>
  <c r="O2" i="73"/>
  <c r="O3" i="73" s="1"/>
  <c r="P2" i="73" s="1"/>
  <c r="P3" i="73" s="1"/>
  <c r="Q2" i="73" s="1"/>
  <c r="Q3" i="73" s="1"/>
  <c r="R2" i="73" s="1"/>
  <c r="R3" i="73" s="1"/>
  <c r="S2" i="73" s="1"/>
  <c r="S3" i="73" s="1"/>
  <c r="T2" i="73" s="1"/>
  <c r="T3" i="73" s="1"/>
  <c r="U2" i="73" s="1"/>
  <c r="U3" i="73" s="1"/>
  <c r="V2" i="73" s="1"/>
  <c r="V3" i="73" s="1"/>
  <c r="W2" i="73" s="1"/>
  <c r="W3" i="73" s="1"/>
  <c r="X2" i="73" s="1"/>
  <c r="X3" i="73" s="1"/>
  <c r="Y2" i="73" s="1"/>
  <c r="Y3" i="73" s="1"/>
  <c r="Z2" i="73" s="1"/>
  <c r="Z3" i="73" s="1"/>
  <c r="O2" i="74"/>
  <c r="O3" i="74" s="1"/>
  <c r="P2" i="74" s="1"/>
  <c r="P3" i="74" s="1"/>
  <c r="Q2" i="74" s="1"/>
  <c r="Q3" i="74" s="1"/>
  <c r="R2" i="74" s="1"/>
  <c r="R3" i="74" s="1"/>
  <c r="S2" i="74" s="1"/>
  <c r="S3" i="74" s="1"/>
  <c r="T2" i="74" s="1"/>
  <c r="T3" i="74" s="1"/>
  <c r="U2" i="74" s="1"/>
  <c r="U3" i="74" s="1"/>
  <c r="V2" i="74" s="1"/>
  <c r="V3" i="74" s="1"/>
  <c r="W2" i="74" s="1"/>
  <c r="W3" i="74" s="1"/>
  <c r="X2" i="74" s="1"/>
  <c r="X3" i="74" s="1"/>
  <c r="Y2" i="74" s="1"/>
  <c r="Y3" i="74" s="1"/>
  <c r="Z2" i="74" s="1"/>
  <c r="Z3" i="74" s="1"/>
  <c r="O2" i="75"/>
  <c r="O3" i="75" s="1"/>
  <c r="P2" i="75" s="1"/>
  <c r="P3" i="75" s="1"/>
  <c r="Q2" i="75" s="1"/>
  <c r="Q3" i="75" s="1"/>
  <c r="R2" i="75" s="1"/>
  <c r="R3" i="75" s="1"/>
  <c r="S2" i="75" s="1"/>
  <c r="S3" i="75" s="1"/>
  <c r="T2" i="75" s="1"/>
  <c r="T3" i="75" s="1"/>
  <c r="U2" i="75" s="1"/>
  <c r="U3" i="75" s="1"/>
  <c r="V2" i="75" s="1"/>
  <c r="V3" i="75" s="1"/>
  <c r="W2" i="75" s="1"/>
  <c r="W3" i="75" s="1"/>
  <c r="X2" i="75" s="1"/>
  <c r="X3" i="75" s="1"/>
  <c r="Y2" i="75" s="1"/>
  <c r="Y3" i="75" s="1"/>
  <c r="Z2" i="75" s="1"/>
  <c r="Z3" i="75" s="1"/>
  <c r="O2" i="76"/>
  <c r="O3" i="76" s="1"/>
  <c r="P2" i="76" s="1"/>
  <c r="P3" i="76" s="1"/>
  <c r="Q2" i="76" s="1"/>
  <c r="Q3" i="76" s="1"/>
  <c r="R2" i="76" s="1"/>
  <c r="R3" i="76" s="1"/>
  <c r="S2" i="76" s="1"/>
  <c r="S3" i="76" s="1"/>
  <c r="T2" i="76" s="1"/>
  <c r="T3" i="76" s="1"/>
  <c r="U2" i="76" s="1"/>
  <c r="U3" i="76" s="1"/>
  <c r="V2" i="76" s="1"/>
  <c r="V3" i="76" s="1"/>
  <c r="W2" i="76" s="1"/>
  <c r="W3" i="76" s="1"/>
  <c r="X2" i="76" s="1"/>
  <c r="X3" i="76" s="1"/>
  <c r="Y2" i="76" s="1"/>
  <c r="Y3" i="76" s="1"/>
  <c r="Z2" i="76" s="1"/>
  <c r="Z3" i="76" s="1"/>
  <c r="O2" i="77"/>
  <c r="O3" i="77" s="1"/>
  <c r="P2" i="77" s="1"/>
  <c r="P3" i="77" s="1"/>
  <c r="Q2" i="77" s="1"/>
  <c r="Q3" i="77" s="1"/>
  <c r="R2" i="77" s="1"/>
  <c r="R3" i="77" s="1"/>
  <c r="S2" i="77" s="1"/>
  <c r="S3" i="77" s="1"/>
  <c r="T2" i="77" s="1"/>
  <c r="T3" i="77" s="1"/>
  <c r="U2" i="77" s="1"/>
  <c r="U3" i="77" s="1"/>
  <c r="V2" i="77" s="1"/>
  <c r="V3" i="77" s="1"/>
  <c r="W2" i="77" s="1"/>
  <c r="W3" i="77" s="1"/>
  <c r="X2" i="77" s="1"/>
  <c r="X3" i="77" s="1"/>
  <c r="Y2" i="77" s="1"/>
  <c r="Y3" i="77" s="1"/>
  <c r="Z2" i="77" s="1"/>
  <c r="Z3" i="77" s="1"/>
  <c r="O2" i="78"/>
  <c r="O3" i="78" s="1"/>
  <c r="P2" i="78" s="1"/>
  <c r="P3" i="78" s="1"/>
  <c r="Q2" i="78" s="1"/>
  <c r="Q3" i="78" s="1"/>
  <c r="R2" i="78" s="1"/>
  <c r="R3" i="78" s="1"/>
  <c r="S2" i="78" s="1"/>
  <c r="S3" i="78" s="1"/>
  <c r="T2" i="78" s="1"/>
  <c r="T3" i="78" s="1"/>
  <c r="U2" i="78" s="1"/>
  <c r="U3" i="78" s="1"/>
  <c r="V2" i="78" s="1"/>
  <c r="V3" i="78" s="1"/>
  <c r="W2" i="78" s="1"/>
  <c r="W3" i="78" s="1"/>
  <c r="X2" i="78" s="1"/>
  <c r="X3" i="78" s="1"/>
  <c r="Y2" i="78" s="1"/>
  <c r="Y3" i="78" s="1"/>
  <c r="Z2" i="78" s="1"/>
  <c r="Z3" i="78" s="1"/>
  <c r="O2" i="79"/>
  <c r="O3" i="79" s="1"/>
  <c r="P2" i="79" s="1"/>
  <c r="P3" i="79" s="1"/>
  <c r="Q2" i="79" s="1"/>
  <c r="Q3" i="79" s="1"/>
  <c r="R2" i="79" s="1"/>
  <c r="R3" i="79" s="1"/>
  <c r="S2" i="79" s="1"/>
  <c r="S3" i="79" s="1"/>
  <c r="T2" i="79" s="1"/>
  <c r="T3" i="79" s="1"/>
  <c r="U2" i="79" s="1"/>
  <c r="U3" i="79" s="1"/>
  <c r="V2" i="79" s="1"/>
  <c r="V3" i="79" s="1"/>
  <c r="W2" i="79" s="1"/>
  <c r="W3" i="79" s="1"/>
  <c r="X2" i="79" s="1"/>
  <c r="X3" i="79" s="1"/>
  <c r="Y2" i="79" s="1"/>
  <c r="Y3" i="79" s="1"/>
  <c r="Z2" i="79" s="1"/>
  <c r="Z3" i="79" s="1"/>
  <c r="O2" i="80"/>
  <c r="O3" i="80" s="1"/>
  <c r="P2" i="80" s="1"/>
  <c r="P3" i="80" s="1"/>
  <c r="Q2" i="80" s="1"/>
  <c r="Q3" i="80" s="1"/>
  <c r="R2" i="80" s="1"/>
  <c r="R3" i="80" s="1"/>
  <c r="S2" i="80" s="1"/>
  <c r="S3" i="80" s="1"/>
  <c r="T2" i="80" s="1"/>
  <c r="T3" i="80" s="1"/>
  <c r="U2" i="80" s="1"/>
  <c r="U3" i="80" s="1"/>
  <c r="V2" i="80" s="1"/>
  <c r="V3" i="80" s="1"/>
  <c r="W2" i="80" s="1"/>
  <c r="W3" i="80" s="1"/>
  <c r="X2" i="80" s="1"/>
  <c r="X3" i="80" s="1"/>
  <c r="Y2" i="80" s="1"/>
  <c r="Y3" i="80" s="1"/>
  <c r="Z2" i="80" s="1"/>
  <c r="Z3" i="80" s="1"/>
  <c r="O2" i="81"/>
  <c r="O3" i="81" s="1"/>
  <c r="P2" i="81" s="1"/>
  <c r="P3" i="81" s="1"/>
  <c r="Q2" i="81" s="1"/>
  <c r="Q3" i="81" s="1"/>
  <c r="R2" i="81" s="1"/>
  <c r="R3" i="81" s="1"/>
  <c r="S2" i="81" s="1"/>
  <c r="S3" i="81" s="1"/>
  <c r="T2" i="81" s="1"/>
  <c r="T3" i="81" s="1"/>
  <c r="U2" i="81" s="1"/>
  <c r="U3" i="81" s="1"/>
  <c r="V2" i="81" s="1"/>
  <c r="V3" i="81" s="1"/>
  <c r="W2" i="81" s="1"/>
  <c r="W3" i="81" s="1"/>
  <c r="X2" i="81" s="1"/>
  <c r="X3" i="81" s="1"/>
  <c r="Y2" i="81" s="1"/>
  <c r="Y3" i="81" s="1"/>
  <c r="Z2" i="81" s="1"/>
  <c r="Z3" i="81" s="1"/>
  <c r="O2" i="82"/>
  <c r="O3" i="82" s="1"/>
  <c r="P2" i="82" s="1"/>
  <c r="P3" i="82" s="1"/>
  <c r="Q2" i="82" s="1"/>
  <c r="Q3" i="82" s="1"/>
  <c r="R2" i="82" s="1"/>
  <c r="R3" i="82" s="1"/>
  <c r="S2" i="82" s="1"/>
  <c r="S3" i="82" s="1"/>
  <c r="T2" i="82" s="1"/>
  <c r="T3" i="82" s="1"/>
  <c r="U2" i="82" s="1"/>
  <c r="U3" i="82" s="1"/>
  <c r="V2" i="82" s="1"/>
  <c r="V3" i="82" s="1"/>
  <c r="W2" i="82" s="1"/>
  <c r="W3" i="82" s="1"/>
  <c r="X2" i="82" s="1"/>
  <c r="X3" i="82" s="1"/>
  <c r="Y2" i="82" s="1"/>
  <c r="Y3" i="82" s="1"/>
  <c r="Z2" i="82" s="1"/>
  <c r="Z3" i="82" s="1"/>
  <c r="O2" i="83"/>
  <c r="O3" i="83" s="1"/>
  <c r="P2" i="83" s="1"/>
  <c r="P3" i="83" s="1"/>
  <c r="Q2" i="83" s="1"/>
  <c r="Q3" i="83" s="1"/>
  <c r="R2" i="83" s="1"/>
  <c r="R3" i="83" s="1"/>
  <c r="S2" i="83" s="1"/>
  <c r="S3" i="83" s="1"/>
  <c r="T2" i="83" s="1"/>
  <c r="T3" i="83" s="1"/>
  <c r="U2" i="83" s="1"/>
  <c r="U3" i="83" s="1"/>
  <c r="V2" i="83" s="1"/>
  <c r="V3" i="83" s="1"/>
  <c r="W2" i="83" s="1"/>
  <c r="W3" i="83" s="1"/>
  <c r="X2" i="83" s="1"/>
  <c r="X3" i="83" s="1"/>
  <c r="Y2" i="83" s="1"/>
  <c r="Y3" i="83" s="1"/>
  <c r="Z2" i="83" s="1"/>
  <c r="Z3" i="83" s="1"/>
  <c r="O2" i="84"/>
  <c r="O3" i="84" s="1"/>
  <c r="P2" i="84" s="1"/>
  <c r="P3" i="84" s="1"/>
  <c r="Q2" i="84" s="1"/>
  <c r="Q3" i="84" s="1"/>
  <c r="R2" i="84" s="1"/>
  <c r="R3" i="84" s="1"/>
  <c r="S2" i="84" s="1"/>
  <c r="S3" i="84" s="1"/>
  <c r="T2" i="84" s="1"/>
  <c r="T3" i="84" s="1"/>
  <c r="U2" i="84" s="1"/>
  <c r="U3" i="84" s="1"/>
  <c r="V2" i="84" s="1"/>
  <c r="V3" i="84" s="1"/>
  <c r="W2" i="84" s="1"/>
  <c r="W3" i="84" s="1"/>
  <c r="X2" i="84" s="1"/>
  <c r="X3" i="84" s="1"/>
  <c r="Y2" i="84" s="1"/>
  <c r="Y3" i="84" s="1"/>
  <c r="Z2" i="84" s="1"/>
  <c r="Z3" i="84" s="1"/>
  <c r="O2" i="85"/>
  <c r="O3" i="85" s="1"/>
  <c r="P2" i="85" s="1"/>
  <c r="P3" i="85" s="1"/>
  <c r="Q2" i="85" s="1"/>
  <c r="Q3" i="85" s="1"/>
  <c r="R2" i="85" s="1"/>
  <c r="R3" i="85" s="1"/>
  <c r="S2" i="85" s="1"/>
  <c r="S3" i="85" s="1"/>
  <c r="T2" i="85" s="1"/>
  <c r="T3" i="85" s="1"/>
  <c r="U2" i="85" s="1"/>
  <c r="U3" i="85" s="1"/>
  <c r="V2" i="85" s="1"/>
  <c r="V3" i="85" s="1"/>
  <c r="W2" i="85" s="1"/>
  <c r="W3" i="85" s="1"/>
  <c r="X2" i="85" s="1"/>
  <c r="X3" i="85" s="1"/>
  <c r="Y2" i="85" s="1"/>
  <c r="Y3" i="85" s="1"/>
  <c r="Z2" i="85" s="1"/>
  <c r="Z3" i="85" s="1"/>
  <c r="O2" i="86"/>
  <c r="O3" i="86" s="1"/>
  <c r="P2" i="86" s="1"/>
  <c r="P3" i="86" s="1"/>
  <c r="Q2" i="86" s="1"/>
  <c r="Q3" i="86" s="1"/>
  <c r="R2" i="86" s="1"/>
  <c r="R3" i="86" s="1"/>
  <c r="S2" i="86" s="1"/>
  <c r="S3" i="86" s="1"/>
  <c r="T2" i="86" s="1"/>
  <c r="T3" i="86" s="1"/>
  <c r="U2" i="86" s="1"/>
  <c r="U3" i="86" s="1"/>
  <c r="V2" i="86" s="1"/>
  <c r="V3" i="86" s="1"/>
  <c r="W2" i="86" s="1"/>
  <c r="W3" i="86" s="1"/>
  <c r="X2" i="86" s="1"/>
  <c r="X3" i="86" s="1"/>
  <c r="Y2" i="86" s="1"/>
  <c r="Y3" i="86" s="1"/>
  <c r="Z2" i="86" s="1"/>
  <c r="Z3" i="86" s="1"/>
  <c r="O2" i="110"/>
  <c r="O3" i="110" s="1"/>
  <c r="P2" i="110" s="1"/>
  <c r="P3" i="110" s="1"/>
  <c r="Q2" i="110" s="1"/>
  <c r="Q3" i="110" s="1"/>
  <c r="R2" i="110" s="1"/>
  <c r="R3" i="110" s="1"/>
  <c r="S2" i="110" s="1"/>
  <c r="S3" i="110" s="1"/>
  <c r="T2" i="110" s="1"/>
  <c r="T3" i="110" s="1"/>
  <c r="U2" i="110" s="1"/>
  <c r="U3" i="110" s="1"/>
  <c r="V2" i="110" s="1"/>
  <c r="V3" i="110" s="1"/>
  <c r="W2" i="110" s="1"/>
  <c r="W3" i="110" s="1"/>
  <c r="X2" i="110" s="1"/>
  <c r="X3" i="110" s="1"/>
  <c r="Y2" i="110" s="1"/>
  <c r="Y3" i="110" s="1"/>
  <c r="Z2" i="110" s="1"/>
  <c r="Z3" i="110" s="1"/>
  <c r="O2" i="111"/>
  <c r="O3" i="111" s="1"/>
  <c r="P2" i="111" s="1"/>
  <c r="P3" i="111" s="1"/>
  <c r="Q2" i="111" s="1"/>
  <c r="Q3" i="111" s="1"/>
  <c r="R2" i="111" s="1"/>
  <c r="R3" i="111" s="1"/>
  <c r="S2" i="111" s="1"/>
  <c r="S3" i="111" s="1"/>
  <c r="T2" i="111" s="1"/>
  <c r="T3" i="111" s="1"/>
  <c r="U2" i="111" s="1"/>
  <c r="U3" i="111" s="1"/>
  <c r="V2" i="111" s="1"/>
  <c r="V3" i="111" s="1"/>
  <c r="W2" i="111" s="1"/>
  <c r="W3" i="111" s="1"/>
  <c r="X2" i="111" s="1"/>
  <c r="X3" i="111" s="1"/>
  <c r="Y2" i="111" s="1"/>
  <c r="Y3" i="111" s="1"/>
  <c r="Z2" i="111" s="1"/>
  <c r="Z3" i="111" s="1"/>
  <c r="O2" i="89"/>
  <c r="O3" i="89" s="1"/>
  <c r="P2" i="89" s="1"/>
  <c r="P3" i="89" s="1"/>
  <c r="Q2" i="89" s="1"/>
  <c r="Q3" i="89" s="1"/>
  <c r="R2" i="89" s="1"/>
  <c r="R3" i="89" s="1"/>
  <c r="S2" i="89" s="1"/>
  <c r="S3" i="89" s="1"/>
  <c r="T2" i="89" s="1"/>
  <c r="T3" i="89" s="1"/>
  <c r="U2" i="89" s="1"/>
  <c r="U3" i="89" s="1"/>
  <c r="V2" i="89" s="1"/>
  <c r="V3" i="89" s="1"/>
  <c r="W2" i="89" s="1"/>
  <c r="W3" i="89" s="1"/>
  <c r="X2" i="89" s="1"/>
  <c r="X3" i="89" s="1"/>
  <c r="Y2" i="89" s="1"/>
  <c r="Y3" i="89" s="1"/>
  <c r="Z2" i="89" s="1"/>
  <c r="Z3" i="89" s="1"/>
  <c r="O2" i="90"/>
  <c r="O3" i="90" s="1"/>
  <c r="P2" i="90" s="1"/>
  <c r="P3" i="90" s="1"/>
  <c r="Q2" i="90" s="1"/>
  <c r="Q3" i="90" s="1"/>
  <c r="R2" i="90" s="1"/>
  <c r="R3" i="90" s="1"/>
  <c r="S2" i="90" s="1"/>
  <c r="S3" i="90" s="1"/>
  <c r="T2" i="90" s="1"/>
  <c r="T3" i="90" s="1"/>
  <c r="U2" i="90" s="1"/>
  <c r="U3" i="90" s="1"/>
  <c r="V2" i="90" s="1"/>
  <c r="V3" i="90" s="1"/>
  <c r="W2" i="90" s="1"/>
  <c r="W3" i="90" s="1"/>
  <c r="X2" i="90" s="1"/>
  <c r="X3" i="90" s="1"/>
  <c r="Y2" i="90" s="1"/>
  <c r="Y3" i="90" s="1"/>
  <c r="Z2" i="90" s="1"/>
  <c r="Z3" i="90" s="1"/>
  <c r="O2" i="91"/>
  <c r="O3" i="91" s="1"/>
  <c r="P2" i="91" s="1"/>
  <c r="P3" i="91" s="1"/>
  <c r="Q2" i="91" s="1"/>
  <c r="Q3" i="91" s="1"/>
  <c r="R2" i="91" s="1"/>
  <c r="R3" i="91" s="1"/>
  <c r="S2" i="91" s="1"/>
  <c r="S3" i="91" s="1"/>
  <c r="T2" i="91" s="1"/>
  <c r="T3" i="91" s="1"/>
  <c r="U2" i="91" s="1"/>
  <c r="U3" i="91" s="1"/>
  <c r="V2" i="91" s="1"/>
  <c r="V3" i="91" s="1"/>
  <c r="W2" i="91" s="1"/>
  <c r="W3" i="91" s="1"/>
  <c r="X2" i="91" s="1"/>
  <c r="X3" i="91" s="1"/>
  <c r="Y2" i="91" s="1"/>
  <c r="Y3" i="91" s="1"/>
  <c r="Z2" i="91" s="1"/>
  <c r="Z3" i="91" s="1"/>
  <c r="O2" i="92"/>
  <c r="O3" i="92" s="1"/>
  <c r="P2" i="92" s="1"/>
  <c r="P3" i="92" s="1"/>
  <c r="Q2" i="92" s="1"/>
  <c r="Q3" i="92" s="1"/>
  <c r="R2" i="92" s="1"/>
  <c r="R3" i="92" s="1"/>
  <c r="S2" i="92" s="1"/>
  <c r="S3" i="92" s="1"/>
  <c r="T2" i="92" s="1"/>
  <c r="T3" i="92" s="1"/>
  <c r="U2" i="92" s="1"/>
  <c r="U3" i="92" s="1"/>
  <c r="V2" i="92" s="1"/>
  <c r="V3" i="92" s="1"/>
  <c r="W2" i="92" s="1"/>
  <c r="W3" i="92" s="1"/>
  <c r="X2" i="92" s="1"/>
  <c r="X3" i="92" s="1"/>
  <c r="Y2" i="92" s="1"/>
  <c r="Y3" i="92" s="1"/>
  <c r="Z2" i="92" s="1"/>
  <c r="Z3" i="92" s="1"/>
  <c r="O2" i="93"/>
  <c r="O3" i="93" s="1"/>
  <c r="P2" i="93" s="1"/>
  <c r="P3" i="93" s="1"/>
  <c r="Q2" i="93" s="1"/>
  <c r="Q3" i="93" s="1"/>
  <c r="R2" i="93" s="1"/>
  <c r="R3" i="93" s="1"/>
  <c r="S2" i="93" s="1"/>
  <c r="S3" i="93" s="1"/>
  <c r="T2" i="93" s="1"/>
  <c r="T3" i="93" s="1"/>
  <c r="U2" i="93" s="1"/>
  <c r="U3" i="93" s="1"/>
  <c r="V2" i="93" s="1"/>
  <c r="V3" i="93" s="1"/>
  <c r="W2" i="93" s="1"/>
  <c r="W3" i="93" s="1"/>
  <c r="X2" i="93" s="1"/>
  <c r="X3" i="93" s="1"/>
  <c r="Y2" i="93" s="1"/>
  <c r="Y3" i="93" s="1"/>
  <c r="Z2" i="93" s="1"/>
  <c r="Z3" i="93" s="1"/>
  <c r="O2" i="94"/>
  <c r="O3" i="94" s="1"/>
  <c r="P2" i="94" s="1"/>
  <c r="P3" i="94" s="1"/>
  <c r="Q2" i="94" s="1"/>
  <c r="Q3" i="94" s="1"/>
  <c r="R2" i="94" s="1"/>
  <c r="R3" i="94" s="1"/>
  <c r="S2" i="94" s="1"/>
  <c r="S3" i="94" s="1"/>
  <c r="T2" i="94" s="1"/>
  <c r="T3" i="94" s="1"/>
  <c r="U2" i="94" s="1"/>
  <c r="U3" i="94" s="1"/>
  <c r="V2" i="94" s="1"/>
  <c r="V3" i="94" s="1"/>
  <c r="W2" i="94" s="1"/>
  <c r="W3" i="94" s="1"/>
  <c r="X2" i="94" s="1"/>
  <c r="X3" i="94" s="1"/>
  <c r="Y2" i="94" s="1"/>
  <c r="Y3" i="94" s="1"/>
  <c r="Z2" i="94" s="1"/>
  <c r="Z3" i="94" s="1"/>
  <c r="O2" i="95"/>
  <c r="O3" i="95" s="1"/>
  <c r="P2" i="95" s="1"/>
  <c r="P3" i="95" s="1"/>
  <c r="Q2" i="95" s="1"/>
  <c r="Q3" i="95" s="1"/>
  <c r="R2" i="95" s="1"/>
  <c r="R3" i="95" s="1"/>
  <c r="S2" i="95" s="1"/>
  <c r="S3" i="95" s="1"/>
  <c r="T2" i="95" s="1"/>
  <c r="T3" i="95" s="1"/>
  <c r="U2" i="95" s="1"/>
  <c r="U3" i="95" s="1"/>
  <c r="V2" i="95" s="1"/>
  <c r="V3" i="95" s="1"/>
  <c r="W2" i="95" s="1"/>
  <c r="W3" i="95" s="1"/>
  <c r="X2" i="95" s="1"/>
  <c r="X3" i="95" s="1"/>
  <c r="Y2" i="95" s="1"/>
  <c r="Y3" i="95" s="1"/>
  <c r="Z2" i="95" s="1"/>
  <c r="Z3" i="95" s="1"/>
  <c r="O2" i="106"/>
  <c r="O3" i="106" s="1"/>
  <c r="P2" i="106" s="1"/>
  <c r="P3" i="106" s="1"/>
  <c r="Q2" i="106" s="1"/>
  <c r="Q3" i="106" s="1"/>
  <c r="R2" i="106" s="1"/>
  <c r="R3" i="106" s="1"/>
  <c r="S2" i="106" s="1"/>
  <c r="S3" i="106" s="1"/>
  <c r="T2" i="106" s="1"/>
  <c r="T3" i="106" s="1"/>
  <c r="U2" i="106" s="1"/>
  <c r="U3" i="106" s="1"/>
  <c r="V2" i="106" s="1"/>
  <c r="V3" i="106" s="1"/>
  <c r="W2" i="106" s="1"/>
  <c r="W3" i="106" s="1"/>
  <c r="X2" i="106" s="1"/>
  <c r="X3" i="106" s="1"/>
  <c r="Y2" i="106" s="1"/>
  <c r="Y3" i="106" s="1"/>
  <c r="Z2" i="106" s="1"/>
  <c r="Z3" i="106" s="1"/>
  <c r="O2" i="96"/>
  <c r="O3" i="96" s="1"/>
  <c r="P2" i="96" s="1"/>
  <c r="P3" i="96" s="1"/>
  <c r="Q2" i="96" s="1"/>
  <c r="Q3" i="96" s="1"/>
  <c r="R2" i="96" s="1"/>
  <c r="R3" i="96" s="1"/>
  <c r="S2" i="96" s="1"/>
  <c r="S3" i="96" s="1"/>
  <c r="T2" i="96" s="1"/>
  <c r="T3" i="96" s="1"/>
  <c r="U2" i="96" s="1"/>
  <c r="U3" i="96" s="1"/>
  <c r="V2" i="96" s="1"/>
  <c r="V3" i="96" s="1"/>
  <c r="W2" i="96" s="1"/>
  <c r="W3" i="96" s="1"/>
  <c r="X2" i="96" s="1"/>
  <c r="X3" i="96" s="1"/>
  <c r="Y2" i="96" s="1"/>
  <c r="Y3" i="96" s="1"/>
  <c r="Z2" i="96" s="1"/>
  <c r="Z3" i="96" s="1"/>
  <c r="O2" i="99"/>
  <c r="O3" i="99" s="1"/>
  <c r="P2" i="99" s="1"/>
  <c r="P3" i="99" s="1"/>
  <c r="Q2" i="99" s="1"/>
  <c r="Q3" i="99" s="1"/>
  <c r="R2" i="99" s="1"/>
  <c r="R3" i="99" s="1"/>
  <c r="S2" i="99" s="1"/>
  <c r="S3" i="99" s="1"/>
  <c r="T2" i="99" s="1"/>
  <c r="T3" i="99" s="1"/>
  <c r="U2" i="99" s="1"/>
  <c r="U3" i="99" s="1"/>
  <c r="V2" i="99" s="1"/>
  <c r="V3" i="99" s="1"/>
  <c r="W2" i="99" s="1"/>
  <c r="W3" i="99" s="1"/>
  <c r="X2" i="99" s="1"/>
  <c r="X3" i="99" s="1"/>
  <c r="Y2" i="99" s="1"/>
  <c r="Y3" i="99" s="1"/>
  <c r="Z2" i="99" s="1"/>
  <c r="Z3" i="99" s="1"/>
  <c r="O2" i="98"/>
  <c r="O3" i="98" s="1"/>
  <c r="P2" i="98" s="1"/>
  <c r="P3" i="98" s="1"/>
  <c r="Q2" i="98" s="1"/>
  <c r="I46" i="78"/>
  <c r="J46" i="78"/>
  <c r="B45" i="97"/>
  <c r="Q3" i="97" l="1"/>
  <c r="R2" i="97" s="1"/>
  <c r="R3" i="97" s="1"/>
  <c r="S2" i="97" s="1"/>
  <c r="S3" i="97" s="1"/>
  <c r="T2" i="97" s="1"/>
  <c r="T3" i="97" s="1"/>
  <c r="U2" i="97" s="1"/>
  <c r="U3" i="97" s="1"/>
  <c r="V2" i="97" s="1"/>
  <c r="V3" i="97" s="1"/>
  <c r="W2" i="97" s="1"/>
  <c r="W3" i="97" s="1"/>
  <c r="X2" i="97" s="1"/>
  <c r="X3" i="97" s="1"/>
  <c r="Y2" i="97" s="1"/>
  <c r="Y3" i="97" s="1"/>
  <c r="Z2" i="97" s="1"/>
  <c r="Z3" i="97" s="1"/>
  <c r="AA2" i="97" s="1"/>
  <c r="AA3" i="97" s="1"/>
  <c r="AB2" i="97" s="1"/>
  <c r="AB3" i="97" s="1"/>
  <c r="K32" i="97"/>
  <c r="M32" i="97" s="1"/>
  <c r="K28" i="97"/>
  <c r="M28" i="97" s="1"/>
  <c r="K26" i="97"/>
  <c r="M26" i="97" s="1"/>
  <c r="K27" i="97"/>
  <c r="M27" i="97" s="1"/>
  <c r="K29" i="97"/>
  <c r="M29" i="97" s="1"/>
  <c r="K30" i="97"/>
  <c r="M30" i="97" s="1"/>
  <c r="K31" i="97"/>
  <c r="M31" i="97" s="1"/>
  <c r="I45" i="96"/>
  <c r="J45" i="96"/>
  <c r="I46" i="96"/>
  <c r="J46" i="96"/>
  <c r="B66" i="113"/>
  <c r="B65" i="113" s="1"/>
  <c r="N39" i="113"/>
  <c r="M39" i="113"/>
  <c r="N24" i="113"/>
  <c r="L24" i="113"/>
  <c r="N4" i="113"/>
  <c r="H21" i="112"/>
  <c r="J16" i="112"/>
  <c r="J12" i="112"/>
  <c r="K9" i="112"/>
  <c r="I39" i="98" l="1"/>
  <c r="J39" i="98"/>
  <c r="I40" i="98"/>
  <c r="J40" i="98"/>
  <c r="I45" i="98"/>
  <c r="J45" i="98"/>
  <c r="I46" i="98"/>
  <c r="J46" i="98"/>
  <c r="I23" i="98"/>
  <c r="J23" i="98"/>
  <c r="I24" i="98"/>
  <c r="J24" i="98"/>
  <c r="I25" i="98"/>
  <c r="J25" i="98"/>
  <c r="I26" i="98"/>
  <c r="J26" i="98"/>
  <c r="I27" i="98"/>
  <c r="J27" i="98"/>
  <c r="I28" i="98"/>
  <c r="J28" i="98"/>
  <c r="I29" i="98"/>
  <c r="J29" i="98"/>
  <c r="I30" i="98"/>
  <c r="J30" i="98"/>
  <c r="I31" i="98"/>
  <c r="J31" i="98"/>
  <c r="I32" i="98"/>
  <c r="J32" i="98"/>
  <c r="I33" i="98"/>
  <c r="J33" i="98"/>
  <c r="I34" i="98"/>
  <c r="J34" i="98"/>
  <c r="I35" i="98"/>
  <c r="J35" i="98"/>
  <c r="I36" i="98"/>
  <c r="J36" i="98"/>
  <c r="I37" i="98"/>
  <c r="J37" i="98"/>
  <c r="I38" i="98"/>
  <c r="J38" i="98"/>
  <c r="I41" i="98"/>
  <c r="J41" i="98"/>
  <c r="I42" i="98"/>
  <c r="J42" i="98"/>
  <c r="I43" i="98"/>
  <c r="J43" i="98"/>
  <c r="I44" i="98"/>
  <c r="J44" i="98"/>
  <c r="AC11" i="97"/>
  <c r="H40" i="97"/>
  <c r="E49" i="97" s="1"/>
  <c r="F40" i="97"/>
  <c r="E47" i="97" s="1"/>
  <c r="D40" i="97"/>
  <c r="E48" i="97" s="1"/>
  <c r="I23" i="106" l="1"/>
  <c r="J23" i="106"/>
  <c r="I24" i="106"/>
  <c r="J24" i="106"/>
  <c r="I25" i="106"/>
  <c r="J25" i="106"/>
  <c r="I26" i="106"/>
  <c r="J26" i="106"/>
  <c r="I27" i="106"/>
  <c r="J27" i="106"/>
  <c r="I28" i="106"/>
  <c r="J28" i="106"/>
  <c r="I29" i="106"/>
  <c r="J29" i="106"/>
  <c r="I30" i="106"/>
  <c r="J30" i="106"/>
  <c r="I31" i="106"/>
  <c r="J31" i="106"/>
  <c r="I32" i="106"/>
  <c r="J32" i="106"/>
  <c r="I33" i="106"/>
  <c r="J33" i="106"/>
  <c r="I34" i="106"/>
  <c r="J34" i="106"/>
  <c r="I35" i="106"/>
  <c r="J35" i="106"/>
  <c r="I36" i="106"/>
  <c r="J36" i="106"/>
  <c r="I37" i="106"/>
  <c r="J37" i="106"/>
  <c r="I38" i="106"/>
  <c r="J38" i="106"/>
  <c r="I39" i="106"/>
  <c r="J39" i="106"/>
  <c r="I40" i="106"/>
  <c r="J40" i="106"/>
  <c r="I41" i="106"/>
  <c r="J41" i="106"/>
  <c r="I42" i="106"/>
  <c r="J42" i="106"/>
  <c r="I43" i="106"/>
  <c r="J43" i="106"/>
  <c r="I44" i="106"/>
  <c r="J44" i="106"/>
  <c r="I45" i="106"/>
  <c r="J45" i="106"/>
  <c r="I46" i="106"/>
  <c r="J46" i="106"/>
  <c r="B48" i="70" l="1"/>
  <c r="B48" i="69"/>
  <c r="I12" i="109"/>
  <c r="I13" i="109"/>
  <c r="I14" i="109"/>
  <c r="I15" i="109"/>
  <c r="I16" i="109"/>
  <c r="I17" i="109"/>
  <c r="I18" i="109"/>
  <c r="I19" i="109"/>
  <c r="H67" i="38"/>
  <c r="I67" i="38"/>
  <c r="A16" i="63" l="1"/>
  <c r="A15" i="63"/>
  <c r="I4" i="103"/>
  <c r="I5" i="103"/>
  <c r="I6" i="103"/>
  <c r="I7" i="103"/>
  <c r="I8" i="103"/>
  <c r="I9" i="103"/>
  <c r="I4" i="98" l="1"/>
  <c r="I8" i="98"/>
  <c r="B48" i="98"/>
  <c r="B1" i="98" s="1"/>
  <c r="J53" i="38" l="1"/>
  <c r="K53" i="38" s="1"/>
  <c r="J45" i="99"/>
  <c r="J46" i="99"/>
  <c r="I45" i="102"/>
  <c r="J45" i="102"/>
  <c r="I46" i="102"/>
  <c r="J46" i="102"/>
  <c r="I45" i="103"/>
  <c r="J45" i="103"/>
  <c r="I46" i="103"/>
  <c r="J46" i="103"/>
  <c r="I45" i="104"/>
  <c r="J45" i="104"/>
  <c r="I46" i="104"/>
  <c r="J46" i="104"/>
  <c r="J45" i="100"/>
  <c r="J46" i="100"/>
  <c r="J45" i="101"/>
  <c r="J46" i="101"/>
  <c r="J45" i="87"/>
  <c r="J46" i="87"/>
  <c r="J45" i="88"/>
  <c r="J46" i="88"/>
  <c r="J45" i="69"/>
  <c r="J46" i="69"/>
  <c r="J45" i="70"/>
  <c r="J46" i="70"/>
  <c r="J45" i="71"/>
  <c r="J46" i="71"/>
  <c r="I45" i="65"/>
  <c r="J45" i="65"/>
  <c r="I46" i="65"/>
  <c r="J46" i="65"/>
  <c r="I45" i="67"/>
  <c r="J45" i="67"/>
  <c r="I46" i="67"/>
  <c r="J46" i="67"/>
  <c r="I45" i="68"/>
  <c r="J45" i="68"/>
  <c r="I46" i="68"/>
  <c r="J46" i="68"/>
  <c r="I45" i="107"/>
  <c r="J45" i="107"/>
  <c r="I46" i="107"/>
  <c r="J46" i="107"/>
  <c r="I45" i="108"/>
  <c r="J45" i="108"/>
  <c r="I46" i="108"/>
  <c r="J46" i="108"/>
  <c r="I45" i="109"/>
  <c r="J45" i="109"/>
  <c r="I46" i="109"/>
  <c r="J46" i="109"/>
  <c r="I45" i="72"/>
  <c r="J45" i="72"/>
  <c r="I46" i="72"/>
  <c r="J46" i="72"/>
  <c r="I45" i="73"/>
  <c r="J45" i="73"/>
  <c r="I46" i="73"/>
  <c r="J46" i="73"/>
  <c r="I45" i="74"/>
  <c r="J45" i="74"/>
  <c r="I46" i="74"/>
  <c r="J46" i="74"/>
  <c r="I45" i="75"/>
  <c r="J45" i="75"/>
  <c r="I46" i="75"/>
  <c r="J46" i="75" s="1"/>
  <c r="I45" i="76"/>
  <c r="J45" i="76"/>
  <c r="I46" i="76"/>
  <c r="J46" i="76"/>
  <c r="I45" i="77"/>
  <c r="J45" i="77"/>
  <c r="I46" i="77"/>
  <c r="J46" i="77"/>
  <c r="I45" i="78"/>
  <c r="J45" i="78"/>
  <c r="I45" i="79"/>
  <c r="J45" i="79" s="1"/>
  <c r="I46" i="79"/>
  <c r="J46" i="79" s="1"/>
  <c r="I45" i="80"/>
  <c r="J45" i="80"/>
  <c r="I46" i="80"/>
  <c r="J46" i="80"/>
  <c r="I45" i="81"/>
  <c r="J45" i="81"/>
  <c r="I46" i="81"/>
  <c r="J46" i="81"/>
  <c r="I45" i="82"/>
  <c r="J45" i="82"/>
  <c r="I46" i="82"/>
  <c r="J46" i="82"/>
  <c r="I45" i="83"/>
  <c r="J45" i="83"/>
  <c r="I46" i="83"/>
  <c r="J46" i="83"/>
  <c r="I45" i="84"/>
  <c r="J45" i="84"/>
  <c r="I46" i="84"/>
  <c r="J46" i="84"/>
  <c r="I45" i="85"/>
  <c r="J45" i="85"/>
  <c r="I46" i="85"/>
  <c r="J46" i="85"/>
  <c r="I45" i="86"/>
  <c r="J45" i="86"/>
  <c r="I46" i="86"/>
  <c r="J46" i="86"/>
  <c r="I45" i="110"/>
  <c r="J45" i="110"/>
  <c r="I46" i="110"/>
  <c r="J46" i="110"/>
  <c r="I45" i="111"/>
  <c r="J45" i="111"/>
  <c r="I46" i="111"/>
  <c r="J46" i="111"/>
  <c r="I45" i="89"/>
  <c r="J45" i="89"/>
  <c r="I46" i="89"/>
  <c r="J46" i="89"/>
  <c r="J45" i="90"/>
  <c r="J46" i="90"/>
  <c r="I45" i="91"/>
  <c r="J45" i="91"/>
  <c r="I46" i="91"/>
  <c r="J46" i="91"/>
  <c r="I45" i="92"/>
  <c r="J45" i="92"/>
  <c r="I46" i="92"/>
  <c r="J46" i="92"/>
  <c r="I45" i="93"/>
  <c r="J45" i="93"/>
  <c r="I46" i="93"/>
  <c r="J46" i="93"/>
  <c r="I45" i="94"/>
  <c r="J45" i="94"/>
  <c r="I46" i="94"/>
  <c r="J46" i="94"/>
  <c r="I45" i="95"/>
  <c r="J45" i="95"/>
  <c r="I46" i="95"/>
  <c r="J46" i="95"/>
  <c r="I4" i="67" l="1"/>
  <c r="I5" i="67"/>
  <c r="I6" i="67"/>
  <c r="I7" i="67"/>
  <c r="I8" i="67"/>
  <c r="I9" i="67"/>
  <c r="I10" i="67"/>
  <c r="I11" i="67"/>
  <c r="I12" i="67"/>
  <c r="I13" i="67"/>
  <c r="I14" i="67"/>
  <c r="I15" i="67"/>
  <c r="I16" i="67"/>
  <c r="I17" i="67"/>
  <c r="I18" i="67"/>
  <c r="I19" i="67"/>
  <c r="I20" i="67"/>
  <c r="I21" i="67"/>
  <c r="I22" i="67"/>
  <c r="I23" i="67"/>
  <c r="I24" i="67"/>
  <c r="I25" i="67"/>
  <c r="I26" i="67"/>
  <c r="I27" i="67"/>
  <c r="I28" i="67"/>
  <c r="I29" i="67"/>
  <c r="I30" i="67"/>
  <c r="I31" i="67"/>
  <c r="I32" i="67"/>
  <c r="I33" i="67"/>
  <c r="I34" i="67"/>
  <c r="I35" i="67"/>
  <c r="I36" i="67"/>
  <c r="I37" i="67"/>
  <c r="I38" i="67"/>
  <c r="I39" i="67"/>
  <c r="I40" i="67"/>
  <c r="I41" i="67"/>
  <c r="I42" i="67"/>
  <c r="I43" i="67"/>
  <c r="I44" i="67"/>
  <c r="I4" i="68"/>
  <c r="I5" i="68"/>
  <c r="I6" i="68"/>
  <c r="I7" i="68"/>
  <c r="I8" i="68"/>
  <c r="I9" i="68"/>
  <c r="I10" i="68"/>
  <c r="I11" i="68"/>
  <c r="I12" i="68"/>
  <c r="I13" i="68"/>
  <c r="I14" i="68"/>
  <c r="I15" i="68"/>
  <c r="I16" i="68"/>
  <c r="I17" i="68"/>
  <c r="I18" i="68"/>
  <c r="I19" i="68"/>
  <c r="I20" i="68"/>
  <c r="I21" i="68"/>
  <c r="I22" i="68"/>
  <c r="I23" i="68"/>
  <c r="I24" i="68"/>
  <c r="I25" i="68"/>
  <c r="I26" i="68"/>
  <c r="I27" i="68"/>
  <c r="I28" i="68"/>
  <c r="I29" i="68"/>
  <c r="I30" i="68"/>
  <c r="I31" i="68"/>
  <c r="I32" i="68"/>
  <c r="I33" i="68"/>
  <c r="I34" i="68"/>
  <c r="I35" i="68"/>
  <c r="I36" i="68"/>
  <c r="I37" i="68"/>
  <c r="I38" i="68"/>
  <c r="I39" i="68"/>
  <c r="I40" i="68"/>
  <c r="I41" i="68"/>
  <c r="I42" i="68"/>
  <c r="I43" i="68"/>
  <c r="I44" i="68"/>
  <c r="I4" i="107"/>
  <c r="I5" i="107"/>
  <c r="I6" i="107"/>
  <c r="I7" i="107"/>
  <c r="I8" i="107"/>
  <c r="I9" i="107"/>
  <c r="I10" i="107"/>
  <c r="I11" i="107"/>
  <c r="I12" i="107"/>
  <c r="I13" i="107"/>
  <c r="I14" i="107"/>
  <c r="I15" i="107"/>
  <c r="I16" i="107"/>
  <c r="I17" i="107"/>
  <c r="I18" i="107"/>
  <c r="I19" i="107"/>
  <c r="I20" i="107"/>
  <c r="I21" i="107"/>
  <c r="I22" i="107"/>
  <c r="I23" i="107"/>
  <c r="I24" i="107"/>
  <c r="I25" i="107"/>
  <c r="I26" i="107"/>
  <c r="I27" i="107"/>
  <c r="I28" i="107"/>
  <c r="I29" i="107"/>
  <c r="I30" i="107"/>
  <c r="I31" i="107"/>
  <c r="I32" i="107"/>
  <c r="I33" i="107"/>
  <c r="I34" i="107"/>
  <c r="I35" i="107"/>
  <c r="I36" i="107"/>
  <c r="I37" i="107"/>
  <c r="I38" i="107"/>
  <c r="I39" i="107"/>
  <c r="I40" i="107"/>
  <c r="I41" i="107"/>
  <c r="I42" i="107"/>
  <c r="I43" i="107"/>
  <c r="I44" i="107"/>
  <c r="I4" i="108"/>
  <c r="I5" i="108"/>
  <c r="I6" i="108"/>
  <c r="I7" i="108"/>
  <c r="I8" i="108"/>
  <c r="I9" i="108"/>
  <c r="I10" i="108"/>
  <c r="I11" i="108"/>
  <c r="I12" i="108"/>
  <c r="I13" i="108"/>
  <c r="I14" i="108"/>
  <c r="I15" i="108"/>
  <c r="I16" i="108"/>
  <c r="I17" i="108"/>
  <c r="I18" i="108"/>
  <c r="I19" i="108"/>
  <c r="I20" i="108"/>
  <c r="I21" i="108"/>
  <c r="I22" i="108"/>
  <c r="I23" i="108"/>
  <c r="I24" i="108"/>
  <c r="I25" i="108"/>
  <c r="I26" i="108"/>
  <c r="I27" i="108"/>
  <c r="I28" i="108"/>
  <c r="I29" i="108"/>
  <c r="I30" i="108"/>
  <c r="I31" i="108"/>
  <c r="I32" i="108"/>
  <c r="I33" i="108"/>
  <c r="I34" i="108"/>
  <c r="I35" i="108"/>
  <c r="I36" i="108"/>
  <c r="I37" i="108"/>
  <c r="I38" i="108"/>
  <c r="I39" i="108"/>
  <c r="I40" i="108"/>
  <c r="I41" i="108"/>
  <c r="I42" i="108"/>
  <c r="I43" i="108"/>
  <c r="I44" i="108"/>
  <c r="I5" i="109"/>
  <c r="I6" i="109"/>
  <c r="I7" i="109"/>
  <c r="I8" i="109"/>
  <c r="I9" i="109"/>
  <c r="I10" i="109"/>
  <c r="I11" i="109"/>
  <c r="I20" i="109"/>
  <c r="I21" i="109"/>
  <c r="I22" i="109"/>
  <c r="I23" i="109"/>
  <c r="I24" i="109"/>
  <c r="I25" i="109"/>
  <c r="I26" i="109"/>
  <c r="I27" i="109"/>
  <c r="I28" i="109"/>
  <c r="I29" i="109"/>
  <c r="I30" i="109"/>
  <c r="I31" i="109"/>
  <c r="I32" i="109"/>
  <c r="I33" i="109"/>
  <c r="I34" i="109"/>
  <c r="I35" i="109"/>
  <c r="I36" i="109"/>
  <c r="I37" i="109"/>
  <c r="I38" i="109"/>
  <c r="I39" i="109"/>
  <c r="I40" i="109"/>
  <c r="I41" i="109"/>
  <c r="I42" i="109"/>
  <c r="I43" i="109"/>
  <c r="I44" i="109"/>
  <c r="I4" i="72"/>
  <c r="I5" i="72"/>
  <c r="I6" i="72"/>
  <c r="I7" i="72"/>
  <c r="I8" i="72"/>
  <c r="I9" i="72"/>
  <c r="I10" i="72"/>
  <c r="I11" i="72"/>
  <c r="I12" i="72"/>
  <c r="I13" i="72"/>
  <c r="I14" i="72"/>
  <c r="I15" i="72"/>
  <c r="I16" i="72"/>
  <c r="I17" i="72"/>
  <c r="I18" i="72"/>
  <c r="I19" i="72"/>
  <c r="I20" i="72"/>
  <c r="I21" i="72"/>
  <c r="I22" i="72"/>
  <c r="I23" i="72"/>
  <c r="I24" i="72"/>
  <c r="I25" i="72"/>
  <c r="I26" i="72"/>
  <c r="I27" i="72"/>
  <c r="I28" i="72"/>
  <c r="I29" i="72"/>
  <c r="I30" i="72"/>
  <c r="I31" i="72"/>
  <c r="I32" i="72"/>
  <c r="I33" i="72"/>
  <c r="I34" i="72"/>
  <c r="I35" i="72"/>
  <c r="I36" i="72"/>
  <c r="I37" i="72"/>
  <c r="I38" i="72"/>
  <c r="I39" i="72"/>
  <c r="I40" i="72"/>
  <c r="I41" i="72"/>
  <c r="I42" i="72"/>
  <c r="I43" i="72"/>
  <c r="I44" i="72"/>
  <c r="I4" i="73"/>
  <c r="I5" i="73"/>
  <c r="I6" i="73"/>
  <c r="I7" i="73"/>
  <c r="I8" i="73"/>
  <c r="I9" i="73"/>
  <c r="I10" i="73"/>
  <c r="I11" i="73"/>
  <c r="I12" i="73"/>
  <c r="I13" i="73"/>
  <c r="I14" i="73"/>
  <c r="I15" i="73"/>
  <c r="I16" i="73"/>
  <c r="I29" i="73"/>
  <c r="I30" i="73"/>
  <c r="I31" i="73"/>
  <c r="I32" i="73"/>
  <c r="I33" i="73"/>
  <c r="I34" i="73"/>
  <c r="I35" i="73"/>
  <c r="I36" i="73"/>
  <c r="I37" i="73"/>
  <c r="I38" i="73"/>
  <c r="I39" i="73"/>
  <c r="I40" i="73"/>
  <c r="I41" i="73"/>
  <c r="I42" i="73"/>
  <c r="I43" i="73"/>
  <c r="I44" i="73"/>
  <c r="I4" i="74"/>
  <c r="I5" i="74"/>
  <c r="I6" i="74"/>
  <c r="I7" i="74"/>
  <c r="I12" i="74"/>
  <c r="I13" i="74"/>
  <c r="I14" i="74"/>
  <c r="I15" i="74"/>
  <c r="I16" i="74"/>
  <c r="I17" i="74"/>
  <c r="I18" i="74"/>
  <c r="I19" i="74"/>
  <c r="I20" i="74"/>
  <c r="I21" i="74"/>
  <c r="I22" i="74"/>
  <c r="I23" i="74"/>
  <c r="I24" i="74"/>
  <c r="I25" i="74"/>
  <c r="I26" i="74"/>
  <c r="I27" i="74"/>
  <c r="I28" i="74"/>
  <c r="I29" i="74"/>
  <c r="I30" i="74"/>
  <c r="I31" i="74"/>
  <c r="I32" i="74"/>
  <c r="I33" i="74"/>
  <c r="I34" i="74"/>
  <c r="I35" i="74"/>
  <c r="I36" i="74"/>
  <c r="I37" i="74"/>
  <c r="I38" i="74"/>
  <c r="I39" i="74"/>
  <c r="I40" i="74"/>
  <c r="I41" i="74"/>
  <c r="I42" i="74"/>
  <c r="I43" i="74"/>
  <c r="I44" i="74"/>
  <c r="I4" i="75"/>
  <c r="I5" i="75"/>
  <c r="I6" i="75"/>
  <c r="I7" i="75"/>
  <c r="I8" i="75"/>
  <c r="I9" i="75"/>
  <c r="I10" i="75"/>
  <c r="I11" i="75"/>
  <c r="I12" i="75"/>
  <c r="I13" i="75"/>
  <c r="I14" i="75"/>
  <c r="I15" i="75"/>
  <c r="I16" i="75"/>
  <c r="I17" i="75"/>
  <c r="I18" i="75"/>
  <c r="I19" i="75"/>
  <c r="I20" i="75"/>
  <c r="I21" i="75"/>
  <c r="I22" i="75"/>
  <c r="I23" i="75"/>
  <c r="I24" i="75"/>
  <c r="I25" i="75"/>
  <c r="I26" i="75"/>
  <c r="I27" i="75"/>
  <c r="I28" i="75"/>
  <c r="I29" i="75"/>
  <c r="I30" i="75"/>
  <c r="I31" i="75"/>
  <c r="I32" i="75"/>
  <c r="I33" i="75"/>
  <c r="I34" i="75"/>
  <c r="I35" i="75"/>
  <c r="I36" i="75"/>
  <c r="I37" i="75"/>
  <c r="I38" i="75"/>
  <c r="I39" i="75"/>
  <c r="I40" i="75"/>
  <c r="I41" i="75"/>
  <c r="I42" i="75"/>
  <c r="I43" i="75"/>
  <c r="I44" i="75"/>
  <c r="I4" i="76"/>
  <c r="I5" i="76"/>
  <c r="I6" i="76"/>
  <c r="I7" i="76"/>
  <c r="I8" i="76"/>
  <c r="I9" i="76"/>
  <c r="I10" i="76"/>
  <c r="I11" i="76"/>
  <c r="I12" i="76"/>
  <c r="I13" i="76"/>
  <c r="I14" i="76"/>
  <c r="I15" i="76"/>
  <c r="I16" i="76"/>
  <c r="I17" i="76"/>
  <c r="I18" i="76"/>
  <c r="I19" i="76"/>
  <c r="I20" i="76"/>
  <c r="I21" i="76"/>
  <c r="I22" i="76"/>
  <c r="I23" i="76"/>
  <c r="I24" i="76"/>
  <c r="I25" i="76"/>
  <c r="I26" i="76"/>
  <c r="I27" i="76"/>
  <c r="I28" i="76"/>
  <c r="I29" i="76"/>
  <c r="I30" i="76"/>
  <c r="I31" i="76"/>
  <c r="I32" i="76"/>
  <c r="I33" i="76"/>
  <c r="I34" i="76"/>
  <c r="I35" i="76"/>
  <c r="I36" i="76"/>
  <c r="I37" i="76"/>
  <c r="I38" i="76"/>
  <c r="I39" i="76"/>
  <c r="I40" i="76"/>
  <c r="I41" i="76"/>
  <c r="I42" i="76"/>
  <c r="I43" i="76"/>
  <c r="I44" i="76"/>
  <c r="I4" i="77"/>
  <c r="I5" i="77"/>
  <c r="I6" i="77"/>
  <c r="I7" i="77"/>
  <c r="I8" i="77"/>
  <c r="I9" i="77"/>
  <c r="I10" i="77"/>
  <c r="I11" i="77"/>
  <c r="I12" i="77"/>
  <c r="I13" i="77"/>
  <c r="I14" i="77"/>
  <c r="I15" i="77"/>
  <c r="I16" i="77"/>
  <c r="I17" i="77"/>
  <c r="I18" i="77"/>
  <c r="I19" i="77"/>
  <c r="I20" i="77"/>
  <c r="I21" i="77"/>
  <c r="I22" i="77"/>
  <c r="I23" i="77"/>
  <c r="I24" i="77"/>
  <c r="I25" i="77"/>
  <c r="I26" i="77"/>
  <c r="I27" i="77"/>
  <c r="I28" i="77"/>
  <c r="I29" i="77"/>
  <c r="I30" i="77"/>
  <c r="I31" i="77"/>
  <c r="I32" i="77"/>
  <c r="I33" i="77"/>
  <c r="I34" i="77"/>
  <c r="I35" i="77"/>
  <c r="I36" i="77"/>
  <c r="I37" i="77"/>
  <c r="I38" i="77"/>
  <c r="I39" i="77"/>
  <c r="I40" i="77"/>
  <c r="I41" i="77"/>
  <c r="I42" i="77"/>
  <c r="I43" i="77"/>
  <c r="I44" i="77"/>
  <c r="I4" i="78"/>
  <c r="I5" i="78"/>
  <c r="I6" i="78"/>
  <c r="I7" i="78"/>
  <c r="I8" i="78"/>
  <c r="I9" i="78"/>
  <c r="I10" i="78"/>
  <c r="I11" i="78"/>
  <c r="I12" i="78"/>
  <c r="I13" i="78"/>
  <c r="I14" i="78"/>
  <c r="I15" i="78"/>
  <c r="I16" i="78"/>
  <c r="I17" i="78"/>
  <c r="I18" i="78"/>
  <c r="I19" i="78"/>
  <c r="I20" i="78"/>
  <c r="I21" i="78"/>
  <c r="I22" i="78"/>
  <c r="I23" i="78"/>
  <c r="I24" i="78"/>
  <c r="I25" i="78"/>
  <c r="I26" i="78"/>
  <c r="I27" i="78"/>
  <c r="I28" i="78"/>
  <c r="I29" i="78"/>
  <c r="I30" i="78"/>
  <c r="I31" i="78"/>
  <c r="I32" i="78"/>
  <c r="I33" i="78"/>
  <c r="I34" i="78"/>
  <c r="I35" i="78"/>
  <c r="I36" i="78"/>
  <c r="I37" i="78"/>
  <c r="I38" i="78"/>
  <c r="I39" i="78"/>
  <c r="I40" i="78"/>
  <c r="I41" i="78"/>
  <c r="I42" i="78"/>
  <c r="I43" i="78"/>
  <c r="I44" i="78"/>
  <c r="I4" i="79"/>
  <c r="I5" i="79"/>
  <c r="I6" i="79"/>
  <c r="I7" i="79"/>
  <c r="I8" i="79"/>
  <c r="I9" i="79"/>
  <c r="I10" i="79"/>
  <c r="I11" i="79"/>
  <c r="I12" i="79"/>
  <c r="I13" i="79"/>
  <c r="I14" i="79"/>
  <c r="I15" i="79"/>
  <c r="I16" i="79"/>
  <c r="I17" i="79"/>
  <c r="I18" i="79"/>
  <c r="I19" i="79"/>
  <c r="I20" i="79"/>
  <c r="I21" i="79"/>
  <c r="I22" i="79"/>
  <c r="I23" i="79"/>
  <c r="I24" i="79"/>
  <c r="I25" i="79"/>
  <c r="I26" i="79"/>
  <c r="I27" i="79"/>
  <c r="I28" i="79"/>
  <c r="I29" i="79"/>
  <c r="I30" i="79"/>
  <c r="I31" i="79"/>
  <c r="I32" i="79"/>
  <c r="I33" i="79"/>
  <c r="I34" i="79"/>
  <c r="I35" i="79"/>
  <c r="I36" i="79"/>
  <c r="I37" i="79"/>
  <c r="I38" i="79"/>
  <c r="I39" i="79"/>
  <c r="I40" i="79"/>
  <c r="I41" i="79"/>
  <c r="I42" i="79"/>
  <c r="I43" i="79"/>
  <c r="I44" i="79"/>
  <c r="I4" i="80"/>
  <c r="I5" i="80"/>
  <c r="I6" i="80"/>
  <c r="I7" i="80"/>
  <c r="I8" i="80"/>
  <c r="I9" i="80"/>
  <c r="I10" i="80"/>
  <c r="I11" i="80"/>
  <c r="I12" i="80"/>
  <c r="I13" i="80"/>
  <c r="I14" i="80"/>
  <c r="I15" i="80"/>
  <c r="I16" i="80"/>
  <c r="I17" i="80"/>
  <c r="I18" i="80"/>
  <c r="I19" i="80"/>
  <c r="I20" i="80"/>
  <c r="I21" i="80"/>
  <c r="I22" i="80"/>
  <c r="I23" i="80"/>
  <c r="I24" i="80"/>
  <c r="I25" i="80"/>
  <c r="I26" i="80"/>
  <c r="I27" i="80"/>
  <c r="I28" i="80"/>
  <c r="I29" i="80"/>
  <c r="I30" i="80"/>
  <c r="I31" i="80"/>
  <c r="I32" i="80"/>
  <c r="I33" i="80"/>
  <c r="I34" i="80"/>
  <c r="I35" i="80"/>
  <c r="I36" i="80"/>
  <c r="I37" i="80"/>
  <c r="I38" i="80"/>
  <c r="I39" i="80"/>
  <c r="I40" i="80"/>
  <c r="I41" i="80"/>
  <c r="I42" i="80"/>
  <c r="I43" i="80"/>
  <c r="I44" i="80"/>
  <c r="I4" i="81"/>
  <c r="I5" i="81"/>
  <c r="I6" i="81"/>
  <c r="I7" i="81"/>
  <c r="I8" i="81"/>
  <c r="I9" i="81"/>
  <c r="I10" i="81"/>
  <c r="I11" i="81"/>
  <c r="I12" i="81"/>
  <c r="I14" i="81"/>
  <c r="I15" i="81"/>
  <c r="I16" i="81"/>
  <c r="I17" i="81"/>
  <c r="I18" i="81"/>
  <c r="I19" i="81"/>
  <c r="I20" i="81"/>
  <c r="I21" i="81"/>
  <c r="I22" i="81"/>
  <c r="I23" i="81"/>
  <c r="I24" i="81"/>
  <c r="I25" i="81"/>
  <c r="I26" i="81"/>
  <c r="I27" i="81"/>
  <c r="I28" i="81"/>
  <c r="I29" i="81"/>
  <c r="I30" i="81"/>
  <c r="I31" i="81"/>
  <c r="I32" i="81"/>
  <c r="I33" i="81"/>
  <c r="I34" i="81"/>
  <c r="I35" i="81"/>
  <c r="I36" i="81"/>
  <c r="I37" i="81"/>
  <c r="I38" i="81"/>
  <c r="I39" i="81"/>
  <c r="I40" i="81"/>
  <c r="I41" i="81"/>
  <c r="I42" i="81"/>
  <c r="I43" i="81"/>
  <c r="I44" i="81"/>
  <c r="I4" i="82"/>
  <c r="I5" i="82"/>
  <c r="I6" i="82"/>
  <c r="I7" i="82"/>
  <c r="I8" i="82"/>
  <c r="I9" i="82"/>
  <c r="I10" i="82"/>
  <c r="I11" i="82"/>
  <c r="I12" i="82"/>
  <c r="I13" i="82"/>
  <c r="I14" i="82"/>
  <c r="I15" i="82"/>
  <c r="I16" i="82"/>
  <c r="I17" i="82"/>
  <c r="I18" i="82"/>
  <c r="I19" i="82"/>
  <c r="I20" i="82"/>
  <c r="I21" i="82"/>
  <c r="I22" i="82"/>
  <c r="I23" i="82"/>
  <c r="I24" i="82"/>
  <c r="I25" i="82"/>
  <c r="I26" i="82"/>
  <c r="I27" i="82"/>
  <c r="I28" i="82"/>
  <c r="I29" i="82"/>
  <c r="I30" i="82"/>
  <c r="I31" i="82"/>
  <c r="I32" i="82"/>
  <c r="I33" i="82"/>
  <c r="I34" i="82"/>
  <c r="I35" i="82"/>
  <c r="I36" i="82"/>
  <c r="I37" i="82"/>
  <c r="I38" i="82"/>
  <c r="I39" i="82"/>
  <c r="I40" i="82"/>
  <c r="I41" i="82"/>
  <c r="I42" i="82"/>
  <c r="I43" i="82"/>
  <c r="I44" i="82"/>
  <c r="I4" i="83"/>
  <c r="I5" i="83"/>
  <c r="I6" i="83"/>
  <c r="I7" i="83"/>
  <c r="I8" i="83"/>
  <c r="I9" i="83"/>
  <c r="I10" i="83"/>
  <c r="I11" i="83"/>
  <c r="I12" i="83"/>
  <c r="I13" i="83"/>
  <c r="I14" i="83"/>
  <c r="I15" i="83"/>
  <c r="I16" i="83"/>
  <c r="I17" i="83"/>
  <c r="I18" i="83"/>
  <c r="I19" i="83"/>
  <c r="I20" i="83"/>
  <c r="I21" i="83"/>
  <c r="I22" i="83"/>
  <c r="I23" i="83"/>
  <c r="I24" i="83"/>
  <c r="I25" i="83"/>
  <c r="I26" i="83"/>
  <c r="I27" i="83"/>
  <c r="I28" i="83"/>
  <c r="I29" i="83"/>
  <c r="I30" i="83"/>
  <c r="I31" i="83"/>
  <c r="I32" i="83"/>
  <c r="I33" i="83"/>
  <c r="I34" i="83"/>
  <c r="I35" i="83"/>
  <c r="I36" i="83"/>
  <c r="I37" i="83"/>
  <c r="I38" i="83"/>
  <c r="I39" i="83"/>
  <c r="I40" i="83"/>
  <c r="I41" i="83"/>
  <c r="I42" i="83"/>
  <c r="I43" i="83"/>
  <c r="I44" i="83"/>
  <c r="I4" i="84"/>
  <c r="I5" i="84"/>
  <c r="I6" i="84"/>
  <c r="I9" i="84"/>
  <c r="I8" i="84"/>
  <c r="I10" i="84"/>
  <c r="I11" i="84"/>
  <c r="I12" i="84"/>
  <c r="I13" i="84"/>
  <c r="I14" i="84"/>
  <c r="I15" i="84"/>
  <c r="I16" i="84"/>
  <c r="I17" i="84"/>
  <c r="I18" i="84"/>
  <c r="I19" i="84"/>
  <c r="I20" i="84"/>
  <c r="I21" i="84"/>
  <c r="I22" i="84"/>
  <c r="I23" i="84"/>
  <c r="I24" i="84"/>
  <c r="I25" i="84"/>
  <c r="I26" i="84"/>
  <c r="I27" i="84"/>
  <c r="I28" i="84"/>
  <c r="I29" i="84"/>
  <c r="I30" i="84"/>
  <c r="I31" i="84"/>
  <c r="I32" i="84"/>
  <c r="I33" i="84"/>
  <c r="I34" i="84"/>
  <c r="I35" i="84"/>
  <c r="I36" i="84"/>
  <c r="I37" i="84"/>
  <c r="I38" i="84"/>
  <c r="I39" i="84"/>
  <c r="I40" i="84"/>
  <c r="I41" i="84"/>
  <c r="I42" i="84"/>
  <c r="I43" i="84"/>
  <c r="I44" i="84"/>
  <c r="I4" i="85"/>
  <c r="I5" i="85"/>
  <c r="I6" i="85"/>
  <c r="I7" i="85"/>
  <c r="I8" i="85"/>
  <c r="I9" i="85"/>
  <c r="I10" i="85"/>
  <c r="I11" i="85"/>
  <c r="I12" i="85"/>
  <c r="I13" i="85"/>
  <c r="I14" i="85"/>
  <c r="I15" i="85"/>
  <c r="I16" i="85"/>
  <c r="I17" i="85"/>
  <c r="I18" i="85"/>
  <c r="I19" i="85"/>
  <c r="I20" i="85"/>
  <c r="I21" i="85"/>
  <c r="I22" i="85"/>
  <c r="I23" i="85"/>
  <c r="I24" i="85"/>
  <c r="I25" i="85"/>
  <c r="I26" i="85"/>
  <c r="I27" i="85"/>
  <c r="I28" i="85"/>
  <c r="I29" i="85"/>
  <c r="I30" i="85"/>
  <c r="I31" i="85"/>
  <c r="I32" i="85"/>
  <c r="I33" i="85"/>
  <c r="I34" i="85"/>
  <c r="I35" i="85"/>
  <c r="I36" i="85"/>
  <c r="I37" i="85"/>
  <c r="I38" i="85"/>
  <c r="I39" i="85"/>
  <c r="I40" i="85"/>
  <c r="I41" i="85"/>
  <c r="I42" i="85"/>
  <c r="I43" i="85"/>
  <c r="I44" i="85"/>
  <c r="I4" i="86"/>
  <c r="I5" i="86"/>
  <c r="I6" i="86"/>
  <c r="I7" i="86"/>
  <c r="I8" i="86"/>
  <c r="I9" i="86"/>
  <c r="I10" i="86"/>
  <c r="I11" i="86"/>
  <c r="I12" i="86"/>
  <c r="I13" i="86"/>
  <c r="I14" i="86"/>
  <c r="I15" i="86"/>
  <c r="I16" i="86"/>
  <c r="I17" i="86"/>
  <c r="I18" i="86"/>
  <c r="I19" i="86"/>
  <c r="I20" i="86"/>
  <c r="I21" i="86"/>
  <c r="I22" i="86"/>
  <c r="I23" i="86"/>
  <c r="I24" i="86"/>
  <c r="I25" i="86"/>
  <c r="I26" i="86"/>
  <c r="I27" i="86"/>
  <c r="I28" i="86"/>
  <c r="I29" i="86"/>
  <c r="I30" i="86"/>
  <c r="I31" i="86"/>
  <c r="I32" i="86"/>
  <c r="I33" i="86"/>
  <c r="I34" i="86"/>
  <c r="I35" i="86"/>
  <c r="I36" i="86"/>
  <c r="I37" i="86"/>
  <c r="I38" i="86"/>
  <c r="I39" i="86"/>
  <c r="I40" i="86"/>
  <c r="I41" i="86"/>
  <c r="I42" i="86"/>
  <c r="I43" i="86"/>
  <c r="I44" i="86"/>
  <c r="I4" i="110"/>
  <c r="I5" i="110"/>
  <c r="I6" i="110"/>
  <c r="I7" i="110"/>
  <c r="I8" i="110"/>
  <c r="I9" i="110"/>
  <c r="I10" i="110"/>
  <c r="I11" i="110"/>
  <c r="I12" i="110"/>
  <c r="I13" i="110"/>
  <c r="I14" i="110"/>
  <c r="I15" i="110"/>
  <c r="I16" i="110"/>
  <c r="I17" i="110"/>
  <c r="I18" i="110"/>
  <c r="I19" i="110"/>
  <c r="I20" i="110"/>
  <c r="I21" i="110"/>
  <c r="I22" i="110"/>
  <c r="I23" i="110"/>
  <c r="I24" i="110"/>
  <c r="I25" i="110"/>
  <c r="I26" i="110"/>
  <c r="I27" i="110"/>
  <c r="I28" i="110"/>
  <c r="I29" i="110"/>
  <c r="I30" i="110"/>
  <c r="I31" i="110"/>
  <c r="I32" i="110"/>
  <c r="I33" i="110"/>
  <c r="I34" i="110"/>
  <c r="I35" i="110"/>
  <c r="I36" i="110"/>
  <c r="I37" i="110"/>
  <c r="I38" i="110"/>
  <c r="I39" i="110"/>
  <c r="I40" i="110"/>
  <c r="I41" i="110"/>
  <c r="I42" i="110"/>
  <c r="I43" i="110"/>
  <c r="I44" i="110"/>
  <c r="I4" i="111"/>
  <c r="I5" i="111"/>
  <c r="I6" i="111"/>
  <c r="I7" i="111"/>
  <c r="I8" i="111"/>
  <c r="I10" i="111"/>
  <c r="I11" i="111"/>
  <c r="I12" i="111"/>
  <c r="I13" i="111"/>
  <c r="I14" i="111"/>
  <c r="I15" i="111"/>
  <c r="I16" i="111"/>
  <c r="I17" i="111"/>
  <c r="I18" i="111"/>
  <c r="I19" i="111"/>
  <c r="I20" i="111"/>
  <c r="I21" i="111"/>
  <c r="I22" i="111"/>
  <c r="I23" i="111"/>
  <c r="I24" i="111"/>
  <c r="I25" i="111"/>
  <c r="I26" i="111"/>
  <c r="I27" i="111"/>
  <c r="I28" i="111"/>
  <c r="I29" i="111"/>
  <c r="I30" i="111"/>
  <c r="I31" i="111"/>
  <c r="I32" i="111"/>
  <c r="I33" i="111"/>
  <c r="I34" i="111"/>
  <c r="I35" i="111"/>
  <c r="I36" i="111"/>
  <c r="I37" i="111"/>
  <c r="I38" i="111"/>
  <c r="I39" i="111"/>
  <c r="I40" i="111"/>
  <c r="I41" i="111"/>
  <c r="I42" i="111"/>
  <c r="I43" i="111"/>
  <c r="I44" i="111"/>
  <c r="I4" i="89"/>
  <c r="I10" i="89"/>
  <c r="I11" i="89"/>
  <c r="I12" i="89"/>
  <c r="I13" i="89"/>
  <c r="I14" i="89"/>
  <c r="I15" i="89"/>
  <c r="I16" i="89"/>
  <c r="I17" i="89"/>
  <c r="I18" i="89"/>
  <c r="I19" i="89"/>
  <c r="I20" i="89"/>
  <c r="I21" i="89"/>
  <c r="I22" i="89"/>
  <c r="I23" i="89"/>
  <c r="I24" i="89"/>
  <c r="I25" i="89"/>
  <c r="I26" i="89"/>
  <c r="I27" i="89"/>
  <c r="I28" i="89"/>
  <c r="I29" i="89"/>
  <c r="I30" i="89"/>
  <c r="I31" i="89"/>
  <c r="I32" i="89"/>
  <c r="I33" i="89"/>
  <c r="I34" i="89"/>
  <c r="I35" i="89"/>
  <c r="I36" i="89"/>
  <c r="I37" i="89"/>
  <c r="I38" i="89"/>
  <c r="I39" i="89"/>
  <c r="I40" i="89"/>
  <c r="I41" i="89"/>
  <c r="I42" i="89"/>
  <c r="I43" i="89"/>
  <c r="I44" i="89"/>
  <c r="I4" i="91"/>
  <c r="I5" i="91"/>
  <c r="I6" i="91"/>
  <c r="I7" i="91"/>
  <c r="I8" i="91"/>
  <c r="I9" i="91"/>
  <c r="I10" i="91"/>
  <c r="I11" i="91"/>
  <c r="I12" i="91"/>
  <c r="I13" i="91"/>
  <c r="I14" i="91"/>
  <c r="I15" i="91"/>
  <c r="I16" i="91"/>
  <c r="I17" i="91"/>
  <c r="I18" i="91"/>
  <c r="I19" i="91"/>
  <c r="I20" i="91"/>
  <c r="I21" i="91"/>
  <c r="I22" i="91"/>
  <c r="I23" i="91"/>
  <c r="I24" i="91"/>
  <c r="I25" i="91"/>
  <c r="I26" i="91"/>
  <c r="I27" i="91"/>
  <c r="I28" i="91"/>
  <c r="I29" i="91"/>
  <c r="I30" i="91"/>
  <c r="I31" i="91"/>
  <c r="I32" i="91"/>
  <c r="I33" i="91"/>
  <c r="I34" i="91"/>
  <c r="I35" i="91"/>
  <c r="I36" i="91"/>
  <c r="I37" i="91"/>
  <c r="I38" i="91"/>
  <c r="I39" i="91"/>
  <c r="I40" i="91"/>
  <c r="I41" i="91"/>
  <c r="I42" i="91"/>
  <c r="I43" i="91"/>
  <c r="I44" i="91"/>
  <c r="I4" i="92"/>
  <c r="I5" i="92"/>
  <c r="I6" i="92"/>
  <c r="I7" i="92"/>
  <c r="I8" i="92"/>
  <c r="I9" i="92"/>
  <c r="I10" i="92"/>
  <c r="I11" i="92"/>
  <c r="I12" i="92"/>
  <c r="I13" i="92"/>
  <c r="I14" i="92"/>
  <c r="I15" i="92"/>
  <c r="I16" i="92"/>
  <c r="I17" i="92"/>
  <c r="I18" i="92"/>
  <c r="I19" i="92"/>
  <c r="I20" i="92"/>
  <c r="I21" i="92"/>
  <c r="I22" i="92"/>
  <c r="I23" i="92"/>
  <c r="I24" i="92"/>
  <c r="I25" i="92"/>
  <c r="I26" i="92"/>
  <c r="I27" i="92"/>
  <c r="I28" i="92"/>
  <c r="I29" i="92"/>
  <c r="I30" i="92"/>
  <c r="I31" i="92"/>
  <c r="I32" i="92"/>
  <c r="I33" i="92"/>
  <c r="I34" i="92"/>
  <c r="I35" i="92"/>
  <c r="I36" i="92"/>
  <c r="I37" i="92"/>
  <c r="I38" i="92"/>
  <c r="I39" i="92"/>
  <c r="I40" i="92"/>
  <c r="I41" i="92"/>
  <c r="I42" i="92"/>
  <c r="I43" i="92"/>
  <c r="I44" i="92"/>
  <c r="I4" i="93"/>
  <c r="I5" i="93"/>
  <c r="I6" i="93"/>
  <c r="I7" i="93"/>
  <c r="I8" i="93"/>
  <c r="I9" i="93"/>
  <c r="I10" i="93"/>
  <c r="I11" i="93"/>
  <c r="I12" i="93"/>
  <c r="I13" i="93"/>
  <c r="I14" i="93"/>
  <c r="I15" i="93"/>
  <c r="I16" i="93"/>
  <c r="I17" i="93"/>
  <c r="I18" i="93"/>
  <c r="I19" i="93"/>
  <c r="I20" i="93"/>
  <c r="I21" i="93"/>
  <c r="I22" i="93"/>
  <c r="I23" i="93"/>
  <c r="I24" i="93"/>
  <c r="I25" i="93"/>
  <c r="I26" i="93"/>
  <c r="I27" i="93"/>
  <c r="I28" i="93"/>
  <c r="I29" i="93"/>
  <c r="I30" i="93"/>
  <c r="I31" i="93"/>
  <c r="I32" i="93"/>
  <c r="I33" i="93"/>
  <c r="I34" i="93"/>
  <c r="I35" i="93"/>
  <c r="I36" i="93"/>
  <c r="I37" i="93"/>
  <c r="I38" i="93"/>
  <c r="I39" i="93"/>
  <c r="I40" i="93"/>
  <c r="I41" i="93"/>
  <c r="I42" i="93"/>
  <c r="I43" i="93"/>
  <c r="I44" i="93"/>
  <c r="I4" i="94"/>
  <c r="I5" i="94"/>
  <c r="I6" i="94"/>
  <c r="I7" i="94"/>
  <c r="I8" i="94"/>
  <c r="I9" i="94"/>
  <c r="I10" i="94"/>
  <c r="I11" i="94"/>
  <c r="I12" i="94"/>
  <c r="I13" i="94"/>
  <c r="I14" i="94"/>
  <c r="I15" i="94"/>
  <c r="I16" i="94"/>
  <c r="I17" i="94"/>
  <c r="I18" i="94"/>
  <c r="I19" i="94"/>
  <c r="I20" i="94"/>
  <c r="I21" i="94"/>
  <c r="I22" i="94"/>
  <c r="I23" i="94"/>
  <c r="I24" i="94"/>
  <c r="I25" i="94"/>
  <c r="I26" i="94"/>
  <c r="I27" i="94"/>
  <c r="I28" i="94"/>
  <c r="I29" i="94"/>
  <c r="I30" i="94"/>
  <c r="I31" i="94"/>
  <c r="I32" i="94"/>
  <c r="I33" i="94"/>
  <c r="I34" i="94"/>
  <c r="I35" i="94"/>
  <c r="I36" i="94"/>
  <c r="I37" i="94"/>
  <c r="I38" i="94"/>
  <c r="I39" i="94"/>
  <c r="I40" i="94"/>
  <c r="I41" i="94"/>
  <c r="I42" i="94"/>
  <c r="I43" i="94"/>
  <c r="I44" i="94"/>
  <c r="I4" i="95"/>
  <c r="I5" i="95"/>
  <c r="I6" i="95"/>
  <c r="I7" i="95"/>
  <c r="I8" i="95"/>
  <c r="I9" i="95"/>
  <c r="I10" i="95"/>
  <c r="I11" i="95"/>
  <c r="I12" i="95"/>
  <c r="I13" i="95"/>
  <c r="I14" i="95"/>
  <c r="I15" i="95"/>
  <c r="I16" i="95"/>
  <c r="I17" i="95"/>
  <c r="I18" i="95"/>
  <c r="I19" i="95"/>
  <c r="I20" i="95"/>
  <c r="I21" i="95"/>
  <c r="I22" i="95"/>
  <c r="I23" i="95"/>
  <c r="I24" i="95"/>
  <c r="I25" i="95"/>
  <c r="I26" i="95"/>
  <c r="I27" i="95"/>
  <c r="I28" i="95"/>
  <c r="I29" i="95"/>
  <c r="I30" i="95"/>
  <c r="I31" i="95"/>
  <c r="I32" i="95"/>
  <c r="I33" i="95"/>
  <c r="I34" i="95"/>
  <c r="I35" i="95"/>
  <c r="I36" i="95"/>
  <c r="I37" i="95"/>
  <c r="I38" i="95"/>
  <c r="I39" i="95"/>
  <c r="I40" i="95"/>
  <c r="I41" i="95"/>
  <c r="I42" i="95"/>
  <c r="I43" i="95"/>
  <c r="I44" i="95"/>
  <c r="I4" i="106"/>
  <c r="I5" i="106"/>
  <c r="I6" i="106"/>
  <c r="I7" i="106"/>
  <c r="I8" i="106"/>
  <c r="I9" i="106"/>
  <c r="I10" i="106"/>
  <c r="I11" i="106"/>
  <c r="I12" i="106"/>
  <c r="I13" i="106"/>
  <c r="I14" i="106"/>
  <c r="I15" i="106"/>
  <c r="I16" i="106"/>
  <c r="I17" i="106"/>
  <c r="I18" i="106"/>
  <c r="I19" i="106"/>
  <c r="I20" i="106"/>
  <c r="I21" i="106"/>
  <c r="I22" i="106"/>
  <c r="I4" i="65"/>
  <c r="I5" i="65"/>
  <c r="I6" i="65"/>
  <c r="I7" i="65"/>
  <c r="I8" i="65"/>
  <c r="I9" i="65"/>
  <c r="I10" i="65"/>
  <c r="I11" i="65"/>
  <c r="I12" i="65"/>
  <c r="I13" i="65"/>
  <c r="I14" i="65"/>
  <c r="I15" i="65"/>
  <c r="I16" i="65"/>
  <c r="I17" i="65"/>
  <c r="I18" i="65"/>
  <c r="I19" i="65"/>
  <c r="I20" i="65"/>
  <c r="I21" i="65"/>
  <c r="I22" i="65"/>
  <c r="I23" i="65"/>
  <c r="I24" i="65"/>
  <c r="I25" i="65"/>
  <c r="I26" i="65"/>
  <c r="I27" i="65"/>
  <c r="I28" i="65"/>
  <c r="I29" i="65"/>
  <c r="I30" i="65"/>
  <c r="I31" i="65"/>
  <c r="I32" i="65"/>
  <c r="I33" i="65"/>
  <c r="I34" i="65"/>
  <c r="I35" i="65"/>
  <c r="I36" i="65"/>
  <c r="I37" i="65"/>
  <c r="I38" i="65"/>
  <c r="I39" i="65"/>
  <c r="I40" i="65"/>
  <c r="I41" i="65"/>
  <c r="I42" i="65"/>
  <c r="I43" i="65"/>
  <c r="I44" i="65"/>
  <c r="K52" i="38" l="1"/>
  <c r="B48" i="107"/>
  <c r="B1" i="107" s="1"/>
  <c r="G48" i="96" l="1"/>
  <c r="J44" i="101" l="1"/>
  <c r="J43" i="101"/>
  <c r="J42" i="101"/>
  <c r="J41" i="101"/>
  <c r="J40" i="101"/>
  <c r="J39" i="101"/>
  <c r="J38" i="101"/>
  <c r="J37" i="101"/>
  <c r="J36" i="101"/>
  <c r="J35" i="101"/>
  <c r="J34" i="101"/>
  <c r="J33" i="101"/>
  <c r="J32" i="101"/>
  <c r="J31" i="101"/>
  <c r="J30" i="101"/>
  <c r="J29" i="101"/>
  <c r="J28" i="101"/>
  <c r="J27" i="101"/>
  <c r="J26" i="101"/>
  <c r="J25" i="101"/>
  <c r="J24" i="101"/>
  <c r="J23" i="101"/>
  <c r="J22" i="101"/>
  <c r="J21" i="101"/>
  <c r="J20" i="101"/>
  <c r="J19" i="101"/>
  <c r="J18" i="101"/>
  <c r="J36" i="87" l="1"/>
  <c r="B28" i="87"/>
  <c r="B29" i="87"/>
  <c r="B30" i="87"/>
  <c r="B31" i="87"/>
  <c r="B32" i="87"/>
  <c r="B33" i="87"/>
  <c r="B34" i="87"/>
  <c r="B35" i="87"/>
  <c r="B27" i="87"/>
  <c r="B26" i="87"/>
  <c r="B25" i="87"/>
  <c r="B24" i="87"/>
  <c r="B23" i="87"/>
  <c r="B22" i="87"/>
  <c r="B21" i="87"/>
  <c r="B20" i="87"/>
  <c r="B19" i="87"/>
  <c r="B18" i="87"/>
  <c r="B17" i="87"/>
  <c r="B16" i="87"/>
  <c r="B15" i="87"/>
  <c r="B14" i="87"/>
  <c r="B13" i="87"/>
  <c r="B12" i="87"/>
  <c r="B11" i="87"/>
  <c r="B10" i="87"/>
  <c r="B9" i="87"/>
  <c r="B8" i="87"/>
  <c r="B7" i="87"/>
  <c r="B6" i="87"/>
  <c r="B5" i="87"/>
  <c r="B4" i="87"/>
  <c r="J8" i="100" l="1"/>
  <c r="B5" i="100"/>
  <c r="B6" i="100"/>
  <c r="B7" i="100"/>
  <c r="B4" i="100"/>
  <c r="B48" i="96" l="1"/>
  <c r="B1" i="96" s="1"/>
  <c r="B48" i="106"/>
  <c r="B1" i="106" s="1"/>
  <c r="B48" i="95"/>
  <c r="B1" i="95" s="1"/>
  <c r="B48" i="94"/>
  <c r="B1" i="94" s="1"/>
  <c r="B48" i="93"/>
  <c r="B1" i="93" s="1"/>
  <c r="B48" i="92"/>
  <c r="B1" i="92" s="1"/>
  <c r="B48" i="91"/>
  <c r="B1" i="91" s="1"/>
  <c r="B48" i="90"/>
  <c r="B1" i="90" s="1"/>
  <c r="B48" i="89"/>
  <c r="B1" i="89" s="1"/>
  <c r="B48" i="111"/>
  <c r="B1" i="111" s="1"/>
  <c r="B48" i="110"/>
  <c r="B1" i="110" s="1"/>
  <c r="B48" i="86"/>
  <c r="B1" i="86" s="1"/>
  <c r="B48" i="85"/>
  <c r="B1" i="85" s="1"/>
  <c r="B48" i="84"/>
  <c r="B1" i="84" s="1"/>
  <c r="B48" i="83"/>
  <c r="B1" i="83" s="1"/>
  <c r="B48" i="82"/>
  <c r="B1" i="82" s="1"/>
  <c r="B48" i="81"/>
  <c r="B1" i="81" s="1"/>
  <c r="B48" i="80"/>
  <c r="B1" i="80" s="1"/>
  <c r="B48" i="79"/>
  <c r="B48" i="78"/>
  <c r="B1" i="78" s="1"/>
  <c r="B48" i="77"/>
  <c r="B1" i="77" s="1"/>
  <c r="B48" i="76"/>
  <c r="B1" i="76" s="1"/>
  <c r="B48" i="75"/>
  <c r="B1" i="75" s="1"/>
  <c r="B48" i="74"/>
  <c r="B1" i="74" s="1"/>
  <c r="B48" i="73"/>
  <c r="B1" i="73" s="1"/>
  <c r="B48" i="72"/>
  <c r="B1" i="72" s="1"/>
  <c r="B48" i="109"/>
  <c r="B1" i="109" s="1"/>
  <c r="B48" i="108"/>
  <c r="B1" i="108" s="1"/>
  <c r="B48" i="68"/>
  <c r="B1" i="68" s="1"/>
  <c r="B48" i="67"/>
  <c r="B1" i="67" s="1"/>
  <c r="B48" i="65"/>
  <c r="B1" i="65" s="1"/>
  <c r="B48" i="71"/>
  <c r="B1" i="71" s="1"/>
  <c r="B1" i="70"/>
  <c r="B1" i="69"/>
  <c r="B48" i="88"/>
  <c r="B1" i="88" s="1"/>
  <c r="B48" i="87"/>
  <c r="B1" i="87" s="1"/>
  <c r="B48" i="101"/>
  <c r="B1" i="101" s="1"/>
  <c r="B48" i="100"/>
  <c r="B1" i="100" s="1"/>
  <c r="B48" i="104"/>
  <c r="B1" i="104" s="1"/>
  <c r="B48" i="103"/>
  <c r="B1" i="103" s="1"/>
  <c r="B48" i="102"/>
  <c r="B1" i="102" s="1"/>
  <c r="B48" i="99"/>
  <c r="N3" i="96"/>
  <c r="C2" i="95"/>
  <c r="B2" i="96"/>
  <c r="C2" i="106"/>
  <c r="B2" i="106"/>
  <c r="B2" i="95"/>
  <c r="C2" i="94"/>
  <c r="B2" i="94"/>
  <c r="C2" i="93"/>
  <c r="B2" i="93"/>
  <c r="C2" i="92"/>
  <c r="B2" i="92"/>
  <c r="C2" i="91"/>
  <c r="B2" i="91"/>
  <c r="C2" i="90"/>
  <c r="B2" i="90"/>
  <c r="C2" i="89"/>
  <c r="B2" i="89"/>
  <c r="C2" i="111"/>
  <c r="B2" i="111"/>
  <c r="C2" i="110"/>
  <c r="B2" i="110"/>
  <c r="C2" i="86"/>
  <c r="B2" i="86"/>
  <c r="C2" i="85"/>
  <c r="B2" i="85"/>
  <c r="C2" i="84"/>
  <c r="B2" i="84"/>
  <c r="C2" i="83"/>
  <c r="B2" i="83"/>
  <c r="C2" i="82"/>
  <c r="B2" i="82"/>
  <c r="C2" i="81"/>
  <c r="B2" i="81"/>
  <c r="C2" i="80"/>
  <c r="B2" i="80"/>
  <c r="C2" i="79"/>
  <c r="B2" i="79"/>
  <c r="C2" i="78"/>
  <c r="B2" i="78"/>
  <c r="C2" i="77"/>
  <c r="B2" i="77"/>
  <c r="C2" i="76"/>
  <c r="B2" i="76"/>
  <c r="C2" i="75"/>
  <c r="B2" i="75"/>
  <c r="C2" i="74"/>
  <c r="B2" i="74"/>
  <c r="C2" i="73"/>
  <c r="B2" i="73"/>
  <c r="C2" i="72"/>
  <c r="B2" i="72"/>
  <c r="C2" i="109"/>
  <c r="B2" i="109"/>
  <c r="C2" i="108"/>
  <c r="B2" i="108"/>
  <c r="C2" i="107"/>
  <c r="B2" i="107"/>
  <c r="C2" i="68"/>
  <c r="B2" i="68"/>
  <c r="C2" i="67"/>
  <c r="B2" i="67"/>
  <c r="C2" i="65"/>
  <c r="B2" i="65"/>
  <c r="C2" i="71"/>
  <c r="B2" i="71"/>
  <c r="C2" i="70"/>
  <c r="B2" i="70"/>
  <c r="C2" i="69"/>
  <c r="B2" i="69"/>
  <c r="C2" i="88"/>
  <c r="B2" i="88"/>
  <c r="C2" i="87"/>
  <c r="B2" i="87"/>
  <c r="C2" i="101"/>
  <c r="B2" i="101"/>
  <c r="C2" i="100"/>
  <c r="B2" i="100"/>
  <c r="C2" i="104"/>
  <c r="B2" i="104"/>
  <c r="C2" i="103"/>
  <c r="B2" i="103"/>
  <c r="C2" i="102"/>
  <c r="B2" i="102"/>
  <c r="B2" i="99"/>
  <c r="C2" i="99"/>
  <c r="G49" i="102"/>
  <c r="G1" i="102" s="1"/>
  <c r="E49" i="102"/>
  <c r="E1" i="102" s="1"/>
  <c r="C49" i="102"/>
  <c r="C1" i="102" s="1"/>
  <c r="G48" i="102"/>
  <c r="J44" i="102"/>
  <c r="I44" i="102"/>
  <c r="J43" i="102"/>
  <c r="I43" i="102"/>
  <c r="J42" i="102"/>
  <c r="I42" i="102"/>
  <c r="I41" i="102"/>
  <c r="J41" i="102" s="1"/>
  <c r="J40" i="102"/>
  <c r="I40" i="102"/>
  <c r="I39" i="102"/>
  <c r="J39" i="102" s="1"/>
  <c r="I38" i="102"/>
  <c r="J38" i="102" s="1"/>
  <c r="J37" i="102"/>
  <c r="I37" i="102"/>
  <c r="J36" i="102"/>
  <c r="I36" i="102"/>
  <c r="I35" i="102"/>
  <c r="J35" i="102" s="1"/>
  <c r="J34" i="102"/>
  <c r="I34" i="102"/>
  <c r="J33" i="102"/>
  <c r="I33" i="102"/>
  <c r="J32" i="102"/>
  <c r="I32" i="102"/>
  <c r="I31" i="102"/>
  <c r="J31" i="102" s="1"/>
  <c r="J30" i="102"/>
  <c r="I30" i="102"/>
  <c r="J29" i="102"/>
  <c r="I29" i="102"/>
  <c r="J28" i="102"/>
  <c r="I28" i="102"/>
  <c r="I27" i="102"/>
  <c r="J27" i="102" s="1"/>
  <c r="J26" i="102"/>
  <c r="I26" i="102"/>
  <c r="J25" i="102"/>
  <c r="I25" i="102"/>
  <c r="J24" i="102"/>
  <c r="I24" i="102"/>
  <c r="I23" i="102"/>
  <c r="J23" i="102" s="1"/>
  <c r="I22" i="102"/>
  <c r="J22" i="102" s="1"/>
  <c r="I21" i="102"/>
  <c r="J21" i="102" s="1"/>
  <c r="J20" i="102"/>
  <c r="I20" i="102"/>
  <c r="I19" i="102"/>
  <c r="J19" i="102" s="1"/>
  <c r="J18" i="102"/>
  <c r="I18" i="102"/>
  <c r="J17" i="102"/>
  <c r="I17" i="102"/>
  <c r="J16" i="102"/>
  <c r="I16" i="102"/>
  <c r="I15" i="102"/>
  <c r="J15" i="102" s="1"/>
  <c r="J14" i="102"/>
  <c r="I14" i="102"/>
  <c r="J13" i="102"/>
  <c r="I13" i="102"/>
  <c r="J12" i="102"/>
  <c r="I12" i="102"/>
  <c r="J11" i="102"/>
  <c r="I11" i="102"/>
  <c r="I10" i="102"/>
  <c r="J10" i="102" s="1"/>
  <c r="J9" i="102"/>
  <c r="I9" i="102"/>
  <c r="J8" i="102"/>
  <c r="I8" i="102"/>
  <c r="J7" i="102"/>
  <c r="I7" i="102"/>
  <c r="J6" i="102"/>
  <c r="I6" i="102"/>
  <c r="I5" i="102"/>
  <c r="J5" i="102" s="1"/>
  <c r="J4" i="102"/>
  <c r="I4" i="102"/>
  <c r="N3" i="102"/>
  <c r="G49" i="103"/>
  <c r="G1" i="103" s="1"/>
  <c r="E49" i="103"/>
  <c r="E1" i="103" s="1"/>
  <c r="C49" i="103"/>
  <c r="C1" i="103" s="1"/>
  <c r="G48" i="103"/>
  <c r="J44" i="103"/>
  <c r="I44" i="103"/>
  <c r="J43" i="103"/>
  <c r="I43" i="103"/>
  <c r="J42" i="103"/>
  <c r="I42" i="103"/>
  <c r="I41" i="103"/>
  <c r="J41" i="103" s="1"/>
  <c r="I40" i="103"/>
  <c r="J40" i="103" s="1"/>
  <c r="I39" i="103"/>
  <c r="J39" i="103" s="1"/>
  <c r="I38" i="103"/>
  <c r="J38" i="103" s="1"/>
  <c r="I37" i="103"/>
  <c r="J37" i="103" s="1"/>
  <c r="I36" i="103"/>
  <c r="J36" i="103" s="1"/>
  <c r="I35" i="103"/>
  <c r="J35" i="103" s="1"/>
  <c r="J34" i="103"/>
  <c r="I34" i="103"/>
  <c r="I33" i="103"/>
  <c r="J33" i="103" s="1"/>
  <c r="J32" i="103"/>
  <c r="I32" i="103"/>
  <c r="J31" i="103"/>
  <c r="I31" i="103"/>
  <c r="I30" i="103"/>
  <c r="J30" i="103" s="1"/>
  <c r="I29" i="103"/>
  <c r="J29" i="103" s="1"/>
  <c r="I28" i="103"/>
  <c r="J28" i="103" s="1"/>
  <c r="J27" i="103"/>
  <c r="I27" i="103"/>
  <c r="J26" i="103"/>
  <c r="I26" i="103"/>
  <c r="I25" i="103"/>
  <c r="J25" i="103" s="1"/>
  <c r="J24" i="103"/>
  <c r="I24" i="103"/>
  <c r="I23" i="103"/>
  <c r="J23" i="103" s="1"/>
  <c r="I22" i="103"/>
  <c r="J22" i="103" s="1"/>
  <c r="I21" i="103"/>
  <c r="J21" i="103" s="1"/>
  <c r="J20" i="103"/>
  <c r="I20" i="103"/>
  <c r="I19" i="103"/>
  <c r="J19" i="103" s="1"/>
  <c r="J18" i="103"/>
  <c r="I18" i="103"/>
  <c r="I17" i="103"/>
  <c r="J17" i="103" s="1"/>
  <c r="I16" i="103"/>
  <c r="J16" i="103" s="1"/>
  <c r="I15" i="103"/>
  <c r="J15" i="103" s="1"/>
  <c r="J14" i="103"/>
  <c r="I14" i="103"/>
  <c r="J13" i="103"/>
  <c r="I13" i="103"/>
  <c r="J12" i="103"/>
  <c r="I12" i="103"/>
  <c r="J11" i="103"/>
  <c r="I11" i="103"/>
  <c r="I10" i="103"/>
  <c r="J10" i="103" s="1"/>
  <c r="J9" i="103"/>
  <c r="J8" i="103"/>
  <c r="J7" i="103"/>
  <c r="J6" i="103"/>
  <c r="J4" i="103"/>
  <c r="N3" i="103"/>
  <c r="G49" i="104"/>
  <c r="G1" i="104" s="1"/>
  <c r="E49" i="104"/>
  <c r="E1" i="104" s="1"/>
  <c r="C49" i="104"/>
  <c r="C1" i="104" s="1"/>
  <c r="G48" i="104"/>
  <c r="J44" i="104"/>
  <c r="I44" i="104"/>
  <c r="J43" i="104"/>
  <c r="I43" i="104"/>
  <c r="J42" i="104"/>
  <c r="I42" i="104"/>
  <c r="J41" i="104"/>
  <c r="I41" i="104"/>
  <c r="J40" i="104"/>
  <c r="I40" i="104"/>
  <c r="I39" i="104"/>
  <c r="J39" i="104" s="1"/>
  <c r="J38" i="104"/>
  <c r="I38" i="104"/>
  <c r="J37" i="104"/>
  <c r="I37" i="104"/>
  <c r="I36" i="104"/>
  <c r="J36" i="104" s="1"/>
  <c r="I35" i="104"/>
  <c r="J35" i="104" s="1"/>
  <c r="I34" i="104"/>
  <c r="J34" i="104" s="1"/>
  <c r="I33" i="104"/>
  <c r="J33" i="104" s="1"/>
  <c r="J32" i="104"/>
  <c r="I32" i="104"/>
  <c r="I31" i="104"/>
  <c r="J31" i="104" s="1"/>
  <c r="I30" i="104"/>
  <c r="J30" i="104" s="1"/>
  <c r="I29" i="104"/>
  <c r="J29" i="104" s="1"/>
  <c r="J28" i="104"/>
  <c r="I28" i="104"/>
  <c r="I27" i="104"/>
  <c r="J27" i="104" s="1"/>
  <c r="I26" i="104"/>
  <c r="J26" i="104" s="1"/>
  <c r="I25" i="104"/>
  <c r="J25" i="104" s="1"/>
  <c r="J24" i="104"/>
  <c r="I24" i="104"/>
  <c r="I23" i="104"/>
  <c r="J23" i="104" s="1"/>
  <c r="I22" i="104"/>
  <c r="J22" i="104" s="1"/>
  <c r="I21" i="104"/>
  <c r="J21" i="104" s="1"/>
  <c r="J20" i="104"/>
  <c r="I20" i="104"/>
  <c r="J19" i="104"/>
  <c r="I19" i="104"/>
  <c r="I18" i="104"/>
  <c r="J18" i="104" s="1"/>
  <c r="I17" i="104"/>
  <c r="J17" i="104" s="1"/>
  <c r="J16" i="104"/>
  <c r="I16" i="104"/>
  <c r="I15" i="104"/>
  <c r="J15" i="104" s="1"/>
  <c r="I14" i="104"/>
  <c r="J14" i="104" s="1"/>
  <c r="J13" i="104"/>
  <c r="I13" i="104"/>
  <c r="J12" i="104"/>
  <c r="I12" i="104"/>
  <c r="I11" i="104"/>
  <c r="J11" i="104" s="1"/>
  <c r="J10" i="104"/>
  <c r="I10" i="104"/>
  <c r="J9" i="104"/>
  <c r="I9" i="104"/>
  <c r="J8" i="104"/>
  <c r="I8" i="104"/>
  <c r="J7" i="104"/>
  <c r="I7" i="104"/>
  <c r="I6" i="104"/>
  <c r="J6" i="104" s="1"/>
  <c r="I5" i="104"/>
  <c r="J5" i="104" s="1"/>
  <c r="J4" i="104"/>
  <c r="I4" i="104"/>
  <c r="N3" i="104"/>
  <c r="G49" i="100"/>
  <c r="G1" i="100" s="1"/>
  <c r="E49" i="100"/>
  <c r="E1" i="100" s="1"/>
  <c r="C49" i="100"/>
  <c r="C1" i="100" s="1"/>
  <c r="J44" i="100"/>
  <c r="J43" i="100"/>
  <c r="J42" i="100"/>
  <c r="J41" i="100"/>
  <c r="J40" i="100"/>
  <c r="J39" i="100"/>
  <c r="J38" i="100"/>
  <c r="J37" i="100"/>
  <c r="J36" i="100"/>
  <c r="J35" i="100"/>
  <c r="J34" i="100"/>
  <c r="J33" i="100"/>
  <c r="J32" i="100"/>
  <c r="J31" i="100"/>
  <c r="J30" i="100"/>
  <c r="J29" i="100"/>
  <c r="J28" i="100"/>
  <c r="J27" i="100"/>
  <c r="J26" i="100"/>
  <c r="J25" i="100"/>
  <c r="J24" i="100"/>
  <c r="J23" i="100"/>
  <c r="J22" i="100"/>
  <c r="J21" i="100"/>
  <c r="J20" i="100"/>
  <c r="J19" i="100"/>
  <c r="J18" i="100"/>
  <c r="J17" i="100"/>
  <c r="J16" i="100"/>
  <c r="J15" i="100"/>
  <c r="J14" i="100"/>
  <c r="J13" i="100"/>
  <c r="J12" i="100"/>
  <c r="J11" i="100"/>
  <c r="J10" i="100"/>
  <c r="J9" i="100"/>
  <c r="N3" i="100"/>
  <c r="N3" i="101"/>
  <c r="G49" i="87"/>
  <c r="G1" i="87" s="1"/>
  <c r="E49" i="87"/>
  <c r="E1" i="87" s="1"/>
  <c r="C49" i="87"/>
  <c r="C1" i="87" s="1"/>
  <c r="J44" i="87"/>
  <c r="J43" i="87"/>
  <c r="J42" i="87"/>
  <c r="J41" i="87"/>
  <c r="J40" i="87"/>
  <c r="J39" i="87"/>
  <c r="J38" i="87"/>
  <c r="J37" i="87"/>
  <c r="N3" i="87"/>
  <c r="J44" i="88"/>
  <c r="J43" i="88"/>
  <c r="J42" i="88"/>
  <c r="J41" i="88"/>
  <c r="J40" i="88"/>
  <c r="J39" i="88"/>
  <c r="J38" i="88"/>
  <c r="J37" i="88"/>
  <c r="J36" i="88"/>
  <c r="J35" i="88"/>
  <c r="J34" i="88"/>
  <c r="J33" i="88"/>
  <c r="J32" i="88"/>
  <c r="J31" i="88"/>
  <c r="J30" i="88"/>
  <c r="J29" i="88"/>
  <c r="J28" i="88"/>
  <c r="J27" i="88"/>
  <c r="J26" i="88"/>
  <c r="J25" i="88"/>
  <c r="J24" i="88"/>
  <c r="J23" i="88"/>
  <c r="J22" i="88"/>
  <c r="J21" i="88"/>
  <c r="J20" i="88"/>
  <c r="J19" i="88"/>
  <c r="J18" i="88"/>
  <c r="N3" i="88"/>
  <c r="G49" i="69"/>
  <c r="G1" i="69" s="1"/>
  <c r="E49" i="69"/>
  <c r="E1" i="69" s="1"/>
  <c r="C49" i="69"/>
  <c r="C1" i="69" s="1"/>
  <c r="G48" i="69"/>
  <c r="J44" i="69"/>
  <c r="J43" i="69"/>
  <c r="J42" i="69"/>
  <c r="J41" i="69"/>
  <c r="J40" i="69"/>
  <c r="J39" i="69"/>
  <c r="J38" i="69"/>
  <c r="J37" i="69"/>
  <c r="J36" i="69"/>
  <c r="J35" i="69"/>
  <c r="J34" i="69"/>
  <c r="J33" i="69"/>
  <c r="J32" i="69"/>
  <c r="J31" i="69"/>
  <c r="J30" i="69"/>
  <c r="J29" i="69"/>
  <c r="J28" i="69"/>
  <c r="J27" i="69"/>
  <c r="J26" i="69"/>
  <c r="J25" i="69"/>
  <c r="J24" i="69"/>
  <c r="J23" i="69"/>
  <c r="J22" i="69"/>
  <c r="J21" i="69"/>
  <c r="J20" i="69"/>
  <c r="J19" i="69"/>
  <c r="J18" i="69"/>
  <c r="J17" i="69"/>
  <c r="J16" i="69"/>
  <c r="J15" i="69"/>
  <c r="J14" i="69"/>
  <c r="J13" i="69"/>
  <c r="J12" i="69"/>
  <c r="J11" i="69"/>
  <c r="J10" i="69"/>
  <c r="J9" i="69"/>
  <c r="J8" i="69"/>
  <c r="J7" i="69"/>
  <c r="J6" i="69"/>
  <c r="J4" i="69"/>
  <c r="N3" i="69"/>
  <c r="G49" i="70"/>
  <c r="G1" i="70" s="1"/>
  <c r="E49" i="70"/>
  <c r="E1" i="70" s="1"/>
  <c r="C49" i="70"/>
  <c r="C1" i="70" s="1"/>
  <c r="G48" i="70"/>
  <c r="J44" i="70"/>
  <c r="J43" i="70"/>
  <c r="J42" i="70"/>
  <c r="J41" i="70"/>
  <c r="J40" i="70"/>
  <c r="J39" i="70"/>
  <c r="J38" i="70"/>
  <c r="J37" i="70"/>
  <c r="J36" i="70"/>
  <c r="J35" i="70"/>
  <c r="J34" i="70"/>
  <c r="J33" i="70"/>
  <c r="J32" i="70"/>
  <c r="J31" i="70"/>
  <c r="J30" i="70"/>
  <c r="J29" i="70"/>
  <c r="J28" i="70"/>
  <c r="J27" i="70"/>
  <c r="J26" i="70"/>
  <c r="J25" i="70"/>
  <c r="J24" i="70"/>
  <c r="J23" i="70"/>
  <c r="J22" i="70"/>
  <c r="J21" i="70"/>
  <c r="J20" i="70"/>
  <c r="J19" i="70"/>
  <c r="J18" i="70"/>
  <c r="J17" i="70"/>
  <c r="J16" i="70"/>
  <c r="J15" i="70"/>
  <c r="J14" i="70"/>
  <c r="J13" i="70"/>
  <c r="J12" i="70"/>
  <c r="J11" i="70"/>
  <c r="J10" i="70"/>
  <c r="J9" i="70"/>
  <c r="J8" i="70"/>
  <c r="J7" i="70"/>
  <c r="J5" i="70"/>
  <c r="J4" i="70"/>
  <c r="N3" i="70"/>
  <c r="G49" i="71"/>
  <c r="G1" i="71" s="1"/>
  <c r="E49" i="71"/>
  <c r="E1" i="71" s="1"/>
  <c r="C49" i="71"/>
  <c r="C1" i="71" s="1"/>
  <c r="J44" i="71"/>
  <c r="J43" i="71"/>
  <c r="J42" i="71"/>
  <c r="J41" i="71"/>
  <c r="J40" i="71"/>
  <c r="J39" i="71"/>
  <c r="J38" i="71"/>
  <c r="J37" i="71"/>
  <c r="J36" i="71"/>
  <c r="J35" i="71"/>
  <c r="J34" i="71"/>
  <c r="J33" i="71"/>
  <c r="J32" i="71"/>
  <c r="J31" i="71"/>
  <c r="J30" i="71"/>
  <c r="J29" i="71"/>
  <c r="J28" i="71"/>
  <c r="J27" i="71"/>
  <c r="J26" i="71"/>
  <c r="J25" i="71"/>
  <c r="J24" i="71"/>
  <c r="J23" i="71"/>
  <c r="J22" i="71"/>
  <c r="J21" i="71"/>
  <c r="J20" i="71"/>
  <c r="J19" i="71"/>
  <c r="J18" i="71"/>
  <c r="J17" i="71"/>
  <c r="J16" i="71"/>
  <c r="J15" i="71"/>
  <c r="J14" i="71"/>
  <c r="J13" i="71"/>
  <c r="J12" i="71"/>
  <c r="J11" i="71"/>
  <c r="J10" i="71"/>
  <c r="J9" i="71"/>
  <c r="J8" i="71"/>
  <c r="J7" i="71"/>
  <c r="J6" i="71"/>
  <c r="J5" i="71"/>
  <c r="N3" i="71"/>
  <c r="G49" i="65"/>
  <c r="G1" i="65" s="1"/>
  <c r="E49" i="65"/>
  <c r="E1" i="65" s="1"/>
  <c r="C49" i="65"/>
  <c r="C1" i="65" s="1"/>
  <c r="G48" i="65"/>
  <c r="J44" i="65"/>
  <c r="J43" i="65"/>
  <c r="J42" i="65"/>
  <c r="J41" i="65"/>
  <c r="J40" i="65"/>
  <c r="J39" i="65"/>
  <c r="J38" i="65"/>
  <c r="J37" i="65"/>
  <c r="J36" i="65"/>
  <c r="J35" i="65"/>
  <c r="J34" i="65"/>
  <c r="J33" i="65"/>
  <c r="J32" i="65"/>
  <c r="J31" i="65"/>
  <c r="J30" i="65"/>
  <c r="J29" i="65"/>
  <c r="J28" i="65"/>
  <c r="J27" i="65"/>
  <c r="J26" i="65"/>
  <c r="J25" i="65"/>
  <c r="J24" i="65"/>
  <c r="J23" i="65"/>
  <c r="J22" i="65"/>
  <c r="J21" i="65"/>
  <c r="J20" i="65"/>
  <c r="J19" i="65"/>
  <c r="J18" i="65"/>
  <c r="J17" i="65"/>
  <c r="J16" i="65"/>
  <c r="J15" i="65"/>
  <c r="J14" i="65"/>
  <c r="J13" i="65"/>
  <c r="J12" i="65"/>
  <c r="J11" i="65"/>
  <c r="J10" i="65"/>
  <c r="J9" i="65"/>
  <c r="J8" i="65"/>
  <c r="J7" i="65"/>
  <c r="J6" i="65"/>
  <c r="J5" i="65"/>
  <c r="J4" i="65"/>
  <c r="N3" i="65"/>
  <c r="G49" i="67"/>
  <c r="G1" i="67" s="1"/>
  <c r="E49" i="67"/>
  <c r="E1" i="67" s="1"/>
  <c r="C49" i="67"/>
  <c r="C1" i="67" s="1"/>
  <c r="G48" i="67"/>
  <c r="J44" i="67"/>
  <c r="J43" i="67"/>
  <c r="J42" i="67"/>
  <c r="J41" i="67"/>
  <c r="J40" i="67"/>
  <c r="J39" i="67"/>
  <c r="J38" i="67"/>
  <c r="J37" i="67"/>
  <c r="J36" i="67"/>
  <c r="J35" i="67"/>
  <c r="J34" i="67"/>
  <c r="J33" i="67"/>
  <c r="J32" i="67"/>
  <c r="J31" i="67"/>
  <c r="J30" i="67"/>
  <c r="J29" i="67"/>
  <c r="J28" i="67"/>
  <c r="J27" i="67"/>
  <c r="J26" i="67"/>
  <c r="J25" i="67"/>
  <c r="J24" i="67"/>
  <c r="J23" i="67"/>
  <c r="J22" i="67"/>
  <c r="J21" i="67"/>
  <c r="J20" i="67"/>
  <c r="J19" i="67"/>
  <c r="J18" i="67"/>
  <c r="J17" i="67"/>
  <c r="J16" i="67"/>
  <c r="J15" i="67"/>
  <c r="J14" i="67"/>
  <c r="J13" i="67"/>
  <c r="J12" i="67"/>
  <c r="J11" i="67"/>
  <c r="J10" i="67"/>
  <c r="J9" i="67"/>
  <c r="J8" i="67"/>
  <c r="J6" i="67"/>
  <c r="J4" i="67"/>
  <c r="N3" i="67"/>
  <c r="G49" i="68"/>
  <c r="G1" i="68" s="1"/>
  <c r="E49" i="68"/>
  <c r="E1" i="68" s="1"/>
  <c r="C49" i="68"/>
  <c r="C1" i="68" s="1"/>
  <c r="G48" i="68"/>
  <c r="J44" i="68"/>
  <c r="J43" i="68"/>
  <c r="J42" i="68"/>
  <c r="J41" i="68"/>
  <c r="J40" i="68"/>
  <c r="J39" i="68"/>
  <c r="J38" i="68"/>
  <c r="J37" i="68"/>
  <c r="J36" i="68"/>
  <c r="J35" i="68"/>
  <c r="J34" i="68"/>
  <c r="J33" i="68"/>
  <c r="J32" i="68"/>
  <c r="J31" i="68"/>
  <c r="J30" i="68"/>
  <c r="J29" i="68"/>
  <c r="J28" i="68"/>
  <c r="J27" i="68"/>
  <c r="J26" i="68"/>
  <c r="J25" i="68"/>
  <c r="J24" i="68"/>
  <c r="J23" i="68"/>
  <c r="J22" i="68"/>
  <c r="J21" i="68"/>
  <c r="J20" i="68"/>
  <c r="J19" i="68"/>
  <c r="J18" i="68"/>
  <c r="J17" i="68"/>
  <c r="J16" i="68"/>
  <c r="J15" i="68"/>
  <c r="J14" i="68"/>
  <c r="J13" i="68"/>
  <c r="J12" i="68"/>
  <c r="J11" i="68"/>
  <c r="J10" i="68"/>
  <c r="J9" i="68"/>
  <c r="J8" i="68"/>
  <c r="J7" i="68"/>
  <c r="J6" i="68"/>
  <c r="J5" i="68"/>
  <c r="J4" i="68"/>
  <c r="N3" i="68"/>
  <c r="G49" i="107"/>
  <c r="G1" i="107" s="1"/>
  <c r="E49" i="107"/>
  <c r="E1" i="107" s="1"/>
  <c r="C49" i="107"/>
  <c r="C1" i="107" s="1"/>
  <c r="G48" i="107"/>
  <c r="J44" i="107"/>
  <c r="J43" i="107"/>
  <c r="J42" i="107"/>
  <c r="J41" i="107"/>
  <c r="J40" i="107"/>
  <c r="J39" i="107"/>
  <c r="J38" i="107"/>
  <c r="J37" i="107"/>
  <c r="J36" i="107"/>
  <c r="J35" i="107"/>
  <c r="J34" i="107"/>
  <c r="J33" i="107"/>
  <c r="J32" i="107"/>
  <c r="J31" i="107"/>
  <c r="J30" i="107"/>
  <c r="J29" i="107"/>
  <c r="J28" i="107"/>
  <c r="J27" i="107"/>
  <c r="J26" i="107"/>
  <c r="J25" i="107"/>
  <c r="J24" i="107"/>
  <c r="J23" i="107"/>
  <c r="J22" i="107"/>
  <c r="J21" i="107"/>
  <c r="J20" i="107"/>
  <c r="J19" i="107"/>
  <c r="J18" i="107"/>
  <c r="J17" i="107"/>
  <c r="J16" i="107"/>
  <c r="J15" i="107"/>
  <c r="J14" i="107"/>
  <c r="J12" i="107"/>
  <c r="J11" i="107"/>
  <c r="J10" i="107"/>
  <c r="J9" i="107"/>
  <c r="J8" i="107"/>
  <c r="J7" i="107"/>
  <c r="J6" i="107"/>
  <c r="J5" i="107"/>
  <c r="J4" i="107"/>
  <c r="N3" i="107"/>
  <c r="G49" i="108"/>
  <c r="G1" i="108" s="1"/>
  <c r="E49" i="108"/>
  <c r="E1" i="108" s="1"/>
  <c r="C49" i="108"/>
  <c r="C1" i="108" s="1"/>
  <c r="G48" i="108"/>
  <c r="J44" i="108"/>
  <c r="J43" i="108"/>
  <c r="J42" i="108"/>
  <c r="J41" i="108"/>
  <c r="J40" i="108"/>
  <c r="J39" i="108"/>
  <c r="J38" i="108"/>
  <c r="J37" i="108"/>
  <c r="J36" i="108"/>
  <c r="J35" i="108"/>
  <c r="J34" i="108"/>
  <c r="J33" i="108"/>
  <c r="J32" i="108"/>
  <c r="J31" i="108"/>
  <c r="J30" i="108"/>
  <c r="J29" i="108"/>
  <c r="J28" i="108"/>
  <c r="J27" i="108"/>
  <c r="J26" i="108"/>
  <c r="J25" i="108"/>
  <c r="J24" i="108"/>
  <c r="J23" i="108"/>
  <c r="J22" i="108"/>
  <c r="J21" i="108"/>
  <c r="J20" i="108"/>
  <c r="J19" i="108"/>
  <c r="J18" i="108"/>
  <c r="J17" i="108"/>
  <c r="J16" i="108"/>
  <c r="J15" i="108"/>
  <c r="J14" i="108"/>
  <c r="J13" i="108"/>
  <c r="J12" i="108"/>
  <c r="J11" i="108"/>
  <c r="J10" i="108"/>
  <c r="J9" i="108"/>
  <c r="J8" i="108"/>
  <c r="J7" i="108"/>
  <c r="J6" i="108"/>
  <c r="J5" i="108"/>
  <c r="N3" i="108"/>
  <c r="G49" i="109"/>
  <c r="G1" i="109" s="1"/>
  <c r="E49" i="109"/>
  <c r="E1" i="109" s="1"/>
  <c r="C49" i="109"/>
  <c r="C1" i="109" s="1"/>
  <c r="G48" i="109"/>
  <c r="J44" i="109"/>
  <c r="J43" i="109"/>
  <c r="J42" i="109"/>
  <c r="J41" i="109"/>
  <c r="J40" i="109"/>
  <c r="J39" i="109"/>
  <c r="J38" i="109"/>
  <c r="J37" i="109"/>
  <c r="J36" i="109"/>
  <c r="J35" i="109"/>
  <c r="J34" i="109"/>
  <c r="J33" i="109"/>
  <c r="J32" i="109"/>
  <c r="J31" i="109"/>
  <c r="J30" i="109"/>
  <c r="J29" i="109"/>
  <c r="J28" i="109"/>
  <c r="J27" i="109"/>
  <c r="J26" i="109"/>
  <c r="J25" i="109"/>
  <c r="J24" i="109"/>
  <c r="J23" i="109"/>
  <c r="J22" i="109"/>
  <c r="J21" i="109"/>
  <c r="J20" i="109"/>
  <c r="J19" i="109"/>
  <c r="J18" i="109"/>
  <c r="J17" i="109"/>
  <c r="J16" i="109"/>
  <c r="J15" i="109"/>
  <c r="J14" i="109"/>
  <c r="J13" i="109"/>
  <c r="J12" i="109"/>
  <c r="J11" i="109"/>
  <c r="J10" i="109"/>
  <c r="J9" i="109"/>
  <c r="J8" i="109"/>
  <c r="J7" i="109"/>
  <c r="J6" i="109"/>
  <c r="J5" i="109"/>
  <c r="N3" i="109"/>
  <c r="G49" i="72"/>
  <c r="G1" i="72" s="1"/>
  <c r="E49" i="72"/>
  <c r="E1" i="72" s="1"/>
  <c r="C49" i="72"/>
  <c r="C1" i="72" s="1"/>
  <c r="G48" i="72"/>
  <c r="J44" i="72"/>
  <c r="J43" i="72"/>
  <c r="J42" i="72"/>
  <c r="J41" i="72"/>
  <c r="J40" i="72"/>
  <c r="J39" i="72"/>
  <c r="J38" i="72"/>
  <c r="J37" i="72"/>
  <c r="J36" i="72"/>
  <c r="J35" i="72"/>
  <c r="J34" i="72"/>
  <c r="J33" i="72"/>
  <c r="J32" i="72"/>
  <c r="J31" i="72"/>
  <c r="J30" i="72"/>
  <c r="J29" i="72"/>
  <c r="J28" i="72"/>
  <c r="J27" i="72"/>
  <c r="J26" i="72"/>
  <c r="J25" i="72"/>
  <c r="J24" i="72"/>
  <c r="J23" i="72"/>
  <c r="J22" i="72"/>
  <c r="J21" i="72"/>
  <c r="J20" i="72"/>
  <c r="J19" i="72"/>
  <c r="J18" i="72"/>
  <c r="J17" i="72"/>
  <c r="J16" i="72"/>
  <c r="J15" i="72"/>
  <c r="J14" i="72"/>
  <c r="J13" i="72"/>
  <c r="J12" i="72"/>
  <c r="J11" i="72"/>
  <c r="J10" i="72"/>
  <c r="J9" i="72"/>
  <c r="J8" i="72"/>
  <c r="J7" i="72"/>
  <c r="J6" i="72"/>
  <c r="J5" i="72"/>
  <c r="J4" i="72"/>
  <c r="N3" i="72"/>
  <c r="G49" i="73"/>
  <c r="G1" i="73" s="1"/>
  <c r="E49" i="73"/>
  <c r="E1" i="73" s="1"/>
  <c r="C49" i="73"/>
  <c r="C1" i="73" s="1"/>
  <c r="G48" i="73"/>
  <c r="J44" i="73"/>
  <c r="J43" i="73"/>
  <c r="J42" i="73"/>
  <c r="J41" i="73"/>
  <c r="J40" i="73"/>
  <c r="J39" i="73"/>
  <c r="J38" i="73"/>
  <c r="J37" i="73"/>
  <c r="J36" i="73"/>
  <c r="J35" i="73"/>
  <c r="J34" i="73"/>
  <c r="J33" i="73"/>
  <c r="J32" i="73"/>
  <c r="J31" i="73"/>
  <c r="J30" i="73"/>
  <c r="J29" i="73"/>
  <c r="J28" i="73"/>
  <c r="J27" i="73"/>
  <c r="J26" i="73"/>
  <c r="J25" i="73"/>
  <c r="J24" i="73"/>
  <c r="J23" i="73"/>
  <c r="J22" i="73"/>
  <c r="J21" i="73"/>
  <c r="J20" i="73"/>
  <c r="J19" i="73"/>
  <c r="J18" i="73"/>
  <c r="J17" i="73"/>
  <c r="J16" i="73"/>
  <c r="J15" i="73"/>
  <c r="J14" i="73"/>
  <c r="J13" i="73"/>
  <c r="J12" i="73"/>
  <c r="J11" i="73"/>
  <c r="J10" i="73"/>
  <c r="J9" i="73"/>
  <c r="J8" i="73"/>
  <c r="J7" i="73"/>
  <c r="J6" i="73"/>
  <c r="N3" i="73"/>
  <c r="G49" i="74"/>
  <c r="G1" i="74" s="1"/>
  <c r="E49" i="74"/>
  <c r="E1" i="74" s="1"/>
  <c r="C49" i="74"/>
  <c r="C1" i="74" s="1"/>
  <c r="G48" i="74"/>
  <c r="J44" i="74"/>
  <c r="J43" i="74"/>
  <c r="J42" i="74"/>
  <c r="J41" i="74"/>
  <c r="J40" i="74"/>
  <c r="J39" i="74"/>
  <c r="J38" i="74"/>
  <c r="J37" i="74"/>
  <c r="J36" i="74"/>
  <c r="J35" i="74"/>
  <c r="J34" i="74"/>
  <c r="J33" i="74"/>
  <c r="J32" i="74"/>
  <c r="J31" i="74"/>
  <c r="J30" i="74"/>
  <c r="J29" i="74"/>
  <c r="J28" i="74"/>
  <c r="J27" i="74"/>
  <c r="J26" i="74"/>
  <c r="J25" i="74"/>
  <c r="J24" i="74"/>
  <c r="J23" i="74"/>
  <c r="J22" i="74"/>
  <c r="J21" i="74"/>
  <c r="J20" i="74"/>
  <c r="J19" i="74"/>
  <c r="J18" i="74"/>
  <c r="J17" i="74"/>
  <c r="J16" i="74"/>
  <c r="J15" i="74"/>
  <c r="J14" i="74"/>
  <c r="J13" i="74"/>
  <c r="J12" i="74"/>
  <c r="J11" i="74"/>
  <c r="J10" i="74"/>
  <c r="J9" i="74"/>
  <c r="J8" i="74"/>
  <c r="J7" i="74"/>
  <c r="J6" i="74"/>
  <c r="J5" i="74"/>
  <c r="N3" i="74"/>
  <c r="G49" i="75"/>
  <c r="G1" i="75" s="1"/>
  <c r="E49" i="75"/>
  <c r="E1" i="75" s="1"/>
  <c r="C49" i="75"/>
  <c r="C1" i="75" s="1"/>
  <c r="G48" i="75"/>
  <c r="J44" i="75"/>
  <c r="J43" i="75"/>
  <c r="J42" i="75"/>
  <c r="J41" i="75"/>
  <c r="J40" i="75"/>
  <c r="J39" i="75"/>
  <c r="J38" i="75"/>
  <c r="J37" i="75"/>
  <c r="J36" i="75"/>
  <c r="J35" i="75"/>
  <c r="J34" i="75"/>
  <c r="J33" i="75"/>
  <c r="J32" i="75"/>
  <c r="J31" i="75"/>
  <c r="J30" i="75"/>
  <c r="J29" i="75"/>
  <c r="J28" i="75"/>
  <c r="J27" i="75"/>
  <c r="J26" i="75"/>
  <c r="J25" i="75"/>
  <c r="J24" i="75"/>
  <c r="J23" i="75"/>
  <c r="J22" i="75"/>
  <c r="J21" i="75"/>
  <c r="J20" i="75"/>
  <c r="J19" i="75"/>
  <c r="J18" i="75"/>
  <c r="J17" i="75"/>
  <c r="J16" i="75"/>
  <c r="J15" i="75"/>
  <c r="J14" i="75"/>
  <c r="J13" i="75"/>
  <c r="J12" i="75"/>
  <c r="J11" i="75"/>
  <c r="J10" i="75"/>
  <c r="J9" i="75"/>
  <c r="J8" i="75"/>
  <c r="J7" i="75"/>
  <c r="J6" i="75"/>
  <c r="J5" i="75"/>
  <c r="J4" i="75"/>
  <c r="N3" i="75"/>
  <c r="G49" i="76"/>
  <c r="G1" i="76" s="1"/>
  <c r="E49" i="76"/>
  <c r="E1" i="76" s="1"/>
  <c r="C49" i="76"/>
  <c r="C1" i="76" s="1"/>
  <c r="G48" i="76"/>
  <c r="J44" i="76"/>
  <c r="J43" i="76"/>
  <c r="J42" i="76"/>
  <c r="J41" i="76"/>
  <c r="J40" i="76"/>
  <c r="J39" i="76"/>
  <c r="J38" i="76"/>
  <c r="J37" i="76"/>
  <c r="J36" i="76"/>
  <c r="J35" i="76"/>
  <c r="J34" i="76"/>
  <c r="J33" i="76"/>
  <c r="J32" i="76"/>
  <c r="J31" i="76"/>
  <c r="J30" i="76"/>
  <c r="J29" i="76"/>
  <c r="J28" i="76"/>
  <c r="J27" i="76"/>
  <c r="J26" i="76"/>
  <c r="J25" i="76"/>
  <c r="J24" i="76"/>
  <c r="J23" i="76"/>
  <c r="J22" i="76"/>
  <c r="J21" i="76"/>
  <c r="J20" i="76"/>
  <c r="J19" i="76"/>
  <c r="J18" i="76"/>
  <c r="J17" i="76"/>
  <c r="J16" i="76"/>
  <c r="J15" i="76"/>
  <c r="J14" i="76"/>
  <c r="J13" i="76"/>
  <c r="J12" i="76"/>
  <c r="J11" i="76"/>
  <c r="J10" i="76"/>
  <c r="J9" i="76"/>
  <c r="J7" i="76"/>
  <c r="J6" i="76"/>
  <c r="J5" i="76"/>
  <c r="N3" i="76"/>
  <c r="G49" i="77"/>
  <c r="G1" i="77" s="1"/>
  <c r="E49" i="77"/>
  <c r="E1" i="77" s="1"/>
  <c r="C49" i="77"/>
  <c r="C1" i="77" s="1"/>
  <c r="G48" i="77"/>
  <c r="J44" i="77"/>
  <c r="J43" i="77"/>
  <c r="J42" i="77"/>
  <c r="J41" i="77"/>
  <c r="J40" i="77"/>
  <c r="J39" i="77"/>
  <c r="J38" i="77"/>
  <c r="J37" i="77"/>
  <c r="J36" i="77"/>
  <c r="J35" i="77"/>
  <c r="J34" i="77"/>
  <c r="J33" i="77"/>
  <c r="J32" i="77"/>
  <c r="J31" i="77"/>
  <c r="J30" i="77"/>
  <c r="J29" i="77"/>
  <c r="J28" i="77"/>
  <c r="J27" i="77"/>
  <c r="J26" i="77"/>
  <c r="J25" i="77"/>
  <c r="J24" i="77"/>
  <c r="J23" i="77"/>
  <c r="J22" i="77"/>
  <c r="J21" i="77"/>
  <c r="J20" i="77"/>
  <c r="J19" i="77"/>
  <c r="J18" i="77"/>
  <c r="J17" i="77"/>
  <c r="J16" i="77"/>
  <c r="J15" i="77"/>
  <c r="J14" i="77"/>
  <c r="J13" i="77"/>
  <c r="J12" i="77"/>
  <c r="J11" i="77"/>
  <c r="J10" i="77"/>
  <c r="J8" i="77"/>
  <c r="J7" i="77"/>
  <c r="J6" i="77"/>
  <c r="J5" i="77"/>
  <c r="J4" i="77"/>
  <c r="N3" i="77"/>
  <c r="G49" i="78"/>
  <c r="G1" i="78" s="1"/>
  <c r="E49" i="78"/>
  <c r="E1" i="78" s="1"/>
  <c r="C49" i="78"/>
  <c r="C1" i="78" s="1"/>
  <c r="G48" i="78"/>
  <c r="J44" i="78"/>
  <c r="J43" i="78"/>
  <c r="J42" i="78"/>
  <c r="J41" i="78"/>
  <c r="J40" i="78"/>
  <c r="J39" i="78"/>
  <c r="J38" i="78"/>
  <c r="J37" i="78"/>
  <c r="J36" i="78"/>
  <c r="J35" i="78"/>
  <c r="J34" i="78"/>
  <c r="J33" i="78"/>
  <c r="J32" i="78"/>
  <c r="J31" i="78"/>
  <c r="J30" i="78"/>
  <c r="J29" i="78"/>
  <c r="J28" i="78"/>
  <c r="J27" i="78"/>
  <c r="J26" i="78"/>
  <c r="J25" i="78"/>
  <c r="J24" i="78"/>
  <c r="J23" i="78"/>
  <c r="J22" i="78"/>
  <c r="J21" i="78"/>
  <c r="J20" i="78"/>
  <c r="J19" i="78"/>
  <c r="J18" i="78"/>
  <c r="J17" i="78"/>
  <c r="J16" i="78"/>
  <c r="J15" i="78"/>
  <c r="J14" i="78"/>
  <c r="J13" i="78"/>
  <c r="J12" i="78"/>
  <c r="J11" i="78"/>
  <c r="J10" i="78"/>
  <c r="J9" i="78"/>
  <c r="J8" i="78"/>
  <c r="J7" i="78"/>
  <c r="J6" i="78"/>
  <c r="J5" i="78"/>
  <c r="J4" i="78"/>
  <c r="N3" i="78"/>
  <c r="L46" i="78"/>
  <c r="G49" i="79"/>
  <c r="G1" i="79" s="1"/>
  <c r="E49" i="79"/>
  <c r="E1" i="79" s="1"/>
  <c r="C49" i="79"/>
  <c r="C1" i="79" s="1"/>
  <c r="G48" i="79"/>
  <c r="J44" i="79"/>
  <c r="J43" i="79"/>
  <c r="J42" i="79"/>
  <c r="J41" i="79"/>
  <c r="J40" i="79"/>
  <c r="J39" i="79"/>
  <c r="J38" i="79"/>
  <c r="J37" i="79"/>
  <c r="J36" i="79"/>
  <c r="J35" i="79"/>
  <c r="J34" i="79"/>
  <c r="J33" i="79"/>
  <c r="J32" i="79"/>
  <c r="J31" i="79"/>
  <c r="J30" i="79"/>
  <c r="J29" i="79"/>
  <c r="J28" i="79"/>
  <c r="J27" i="79"/>
  <c r="J26" i="79"/>
  <c r="J25" i="79"/>
  <c r="J24" i="79"/>
  <c r="J23" i="79"/>
  <c r="J22" i="79"/>
  <c r="J21" i="79"/>
  <c r="J20" i="79"/>
  <c r="J19" i="79"/>
  <c r="J18" i="79"/>
  <c r="J17" i="79"/>
  <c r="J16" i="79"/>
  <c r="J15" i="79"/>
  <c r="J14" i="79"/>
  <c r="J13" i="79"/>
  <c r="J12" i="79"/>
  <c r="J11" i="79"/>
  <c r="J10" i="79"/>
  <c r="J9" i="79"/>
  <c r="J8" i="79"/>
  <c r="J7" i="79"/>
  <c r="J6" i="79"/>
  <c r="J5" i="79"/>
  <c r="J4" i="79"/>
  <c r="N3" i="79"/>
  <c r="G49" i="80"/>
  <c r="G1" i="80" s="1"/>
  <c r="E49" i="80"/>
  <c r="E1" i="80" s="1"/>
  <c r="C49" i="80"/>
  <c r="C1" i="80" s="1"/>
  <c r="G48" i="80"/>
  <c r="J44" i="80"/>
  <c r="J43" i="80"/>
  <c r="J42" i="80"/>
  <c r="J41" i="80"/>
  <c r="J40" i="80"/>
  <c r="J39" i="80"/>
  <c r="J38" i="80"/>
  <c r="J37" i="80"/>
  <c r="J36" i="80"/>
  <c r="J35" i="80"/>
  <c r="J34" i="80"/>
  <c r="J33" i="80"/>
  <c r="J32" i="80"/>
  <c r="J31" i="80"/>
  <c r="J30" i="80"/>
  <c r="J29" i="80"/>
  <c r="J28" i="80"/>
  <c r="J27" i="80"/>
  <c r="J26" i="80"/>
  <c r="J25" i="80"/>
  <c r="J24" i="80"/>
  <c r="J23" i="80"/>
  <c r="J22" i="80"/>
  <c r="J21" i="80"/>
  <c r="J20" i="80"/>
  <c r="J19" i="80"/>
  <c r="J18" i="80"/>
  <c r="J17" i="80"/>
  <c r="J16" i="80"/>
  <c r="J15" i="80"/>
  <c r="J14" i="80"/>
  <c r="J13" i="80"/>
  <c r="J11" i="80"/>
  <c r="J10" i="80"/>
  <c r="J9" i="80"/>
  <c r="J8" i="80"/>
  <c r="J7" i="80"/>
  <c r="J6" i="80"/>
  <c r="J5" i="80"/>
  <c r="J4" i="80"/>
  <c r="N3" i="80"/>
  <c r="G49" i="81"/>
  <c r="G1" i="81" s="1"/>
  <c r="E49" i="81"/>
  <c r="E1" i="81" s="1"/>
  <c r="C49" i="81"/>
  <c r="C1" i="81" s="1"/>
  <c r="G48" i="81"/>
  <c r="J44" i="81"/>
  <c r="J43" i="81"/>
  <c r="J42" i="81"/>
  <c r="J41" i="81"/>
  <c r="J40" i="81"/>
  <c r="J39" i="81"/>
  <c r="J38" i="81"/>
  <c r="J37" i="81"/>
  <c r="J36" i="81"/>
  <c r="J35" i="81"/>
  <c r="J34" i="81"/>
  <c r="J33" i="81"/>
  <c r="J32" i="81"/>
  <c r="J31" i="81"/>
  <c r="J30" i="81"/>
  <c r="J29" i="81"/>
  <c r="J28" i="81"/>
  <c r="J27" i="81"/>
  <c r="J26" i="81"/>
  <c r="J25" i="81"/>
  <c r="J24" i="81"/>
  <c r="J23" i="81"/>
  <c r="J22" i="81"/>
  <c r="J21" i="81"/>
  <c r="J20" i="81"/>
  <c r="J19" i="81"/>
  <c r="J18" i="81"/>
  <c r="J17" i="81"/>
  <c r="J16" i="81"/>
  <c r="J15" i="81"/>
  <c r="J14" i="81"/>
  <c r="J13" i="81"/>
  <c r="J12" i="81"/>
  <c r="J11" i="81"/>
  <c r="J10" i="81"/>
  <c r="J9" i="81"/>
  <c r="J8" i="81"/>
  <c r="J7" i="81"/>
  <c r="J6" i="81"/>
  <c r="J4" i="81"/>
  <c r="N3" i="81"/>
  <c r="G49" i="82"/>
  <c r="G1" i="82" s="1"/>
  <c r="E49" i="82"/>
  <c r="E1" i="82" s="1"/>
  <c r="C49" i="82"/>
  <c r="C1" i="82" s="1"/>
  <c r="G48" i="82"/>
  <c r="J44" i="82"/>
  <c r="J43" i="82"/>
  <c r="J42" i="82"/>
  <c r="J41" i="82"/>
  <c r="J40" i="82"/>
  <c r="J39" i="82"/>
  <c r="J38" i="82"/>
  <c r="J37" i="82"/>
  <c r="J36" i="82"/>
  <c r="J35" i="82"/>
  <c r="J34" i="82"/>
  <c r="J33" i="82"/>
  <c r="J32" i="82"/>
  <c r="J31" i="82"/>
  <c r="J30" i="82"/>
  <c r="J29" i="82"/>
  <c r="J28" i="82"/>
  <c r="J27" i="82"/>
  <c r="J26" i="82"/>
  <c r="J25" i="82"/>
  <c r="J24" i="82"/>
  <c r="J23" i="82"/>
  <c r="J22" i="82"/>
  <c r="J21" i="82"/>
  <c r="J20" i="82"/>
  <c r="J19" i="82"/>
  <c r="J18" i="82"/>
  <c r="J17" i="82"/>
  <c r="J16" i="82"/>
  <c r="J15" i="82"/>
  <c r="J14" i="82"/>
  <c r="J13" i="82"/>
  <c r="J12" i="82"/>
  <c r="J11" i="82"/>
  <c r="J10" i="82"/>
  <c r="J9" i="82"/>
  <c r="J8" i="82"/>
  <c r="J7" i="82"/>
  <c r="J6" i="82"/>
  <c r="J5" i="82"/>
  <c r="J4" i="82"/>
  <c r="N3" i="82"/>
  <c r="G49" i="83"/>
  <c r="G1" i="83" s="1"/>
  <c r="E49" i="83"/>
  <c r="E1" i="83" s="1"/>
  <c r="C49" i="83"/>
  <c r="C1" i="83" s="1"/>
  <c r="G48" i="83"/>
  <c r="J44" i="83"/>
  <c r="J43" i="83"/>
  <c r="J42" i="83"/>
  <c r="J41" i="83"/>
  <c r="J40" i="83"/>
  <c r="J39" i="83"/>
  <c r="J38" i="83"/>
  <c r="J37" i="83"/>
  <c r="J36" i="83"/>
  <c r="J35" i="83"/>
  <c r="J34" i="83"/>
  <c r="J33" i="83"/>
  <c r="J32" i="83"/>
  <c r="J31" i="83"/>
  <c r="J30" i="83"/>
  <c r="J29" i="83"/>
  <c r="J28" i="83"/>
  <c r="J27" i="83"/>
  <c r="J26" i="83"/>
  <c r="J25" i="83"/>
  <c r="J24" i="83"/>
  <c r="J23" i="83"/>
  <c r="J22" i="83"/>
  <c r="J21" i="83"/>
  <c r="J20" i="83"/>
  <c r="J19" i="83"/>
  <c r="J18" i="83"/>
  <c r="J17" i="83"/>
  <c r="J16" i="83"/>
  <c r="J15" i="83"/>
  <c r="J14" i="83"/>
  <c r="J13" i="83"/>
  <c r="J12" i="83"/>
  <c r="J11" i="83"/>
  <c r="J10" i="83"/>
  <c r="J9" i="83"/>
  <c r="J8" i="83"/>
  <c r="J7" i="83"/>
  <c r="J6" i="83"/>
  <c r="J5" i="83"/>
  <c r="J4" i="83"/>
  <c r="N3" i="83"/>
  <c r="G49" i="84"/>
  <c r="G1" i="84" s="1"/>
  <c r="E49" i="84"/>
  <c r="E1" i="84" s="1"/>
  <c r="C49" i="84"/>
  <c r="C1" i="84" s="1"/>
  <c r="G48" i="84"/>
  <c r="J44" i="84"/>
  <c r="J43" i="84"/>
  <c r="J42" i="84"/>
  <c r="J41" i="84"/>
  <c r="J40" i="84"/>
  <c r="J39" i="84"/>
  <c r="J38" i="84"/>
  <c r="J37" i="84"/>
  <c r="J36" i="84"/>
  <c r="J35" i="84"/>
  <c r="J34" i="84"/>
  <c r="J33" i="84"/>
  <c r="J32" i="84"/>
  <c r="J31" i="84"/>
  <c r="J30" i="84"/>
  <c r="J29" i="84"/>
  <c r="J28" i="84"/>
  <c r="J27" i="84"/>
  <c r="J26" i="84"/>
  <c r="J25" i="84"/>
  <c r="J24" i="84"/>
  <c r="J23" i="84"/>
  <c r="J22" i="84"/>
  <c r="J21" i="84"/>
  <c r="J20" i="84"/>
  <c r="J19" i="84"/>
  <c r="J18" i="84"/>
  <c r="J17" i="84"/>
  <c r="J16" i="84"/>
  <c r="J15" i="84"/>
  <c r="J14" i="84"/>
  <c r="J13" i="84"/>
  <c r="J12" i="84"/>
  <c r="J11" i="84"/>
  <c r="J10" i="84"/>
  <c r="J9" i="84"/>
  <c r="J8" i="84"/>
  <c r="J7" i="84"/>
  <c r="J4" i="84"/>
  <c r="N3" i="84"/>
  <c r="G49" i="85"/>
  <c r="G1" i="85" s="1"/>
  <c r="E49" i="85"/>
  <c r="E1" i="85" s="1"/>
  <c r="C49" i="85"/>
  <c r="C1" i="85" s="1"/>
  <c r="G48" i="85"/>
  <c r="J44" i="85"/>
  <c r="J43" i="85"/>
  <c r="J42" i="85"/>
  <c r="J41" i="85"/>
  <c r="J40" i="85"/>
  <c r="J39" i="85"/>
  <c r="J38" i="85"/>
  <c r="J37" i="85"/>
  <c r="J36" i="85"/>
  <c r="J35" i="85"/>
  <c r="J34" i="85"/>
  <c r="J33" i="85"/>
  <c r="J32" i="85"/>
  <c r="J31" i="85"/>
  <c r="J30" i="85"/>
  <c r="J29" i="85"/>
  <c r="J28" i="85"/>
  <c r="J27" i="85"/>
  <c r="J26" i="85"/>
  <c r="J25" i="85"/>
  <c r="J24" i="85"/>
  <c r="J23" i="85"/>
  <c r="J22" i="85"/>
  <c r="J21" i="85"/>
  <c r="J20" i="85"/>
  <c r="J19" i="85"/>
  <c r="J18" i="85"/>
  <c r="J17" i="85"/>
  <c r="J16" i="85"/>
  <c r="J15" i="85"/>
  <c r="J14" i="85"/>
  <c r="J13" i="85"/>
  <c r="J12" i="85"/>
  <c r="J11" i="85"/>
  <c r="J10" i="85"/>
  <c r="J9" i="85"/>
  <c r="J8" i="85"/>
  <c r="J7" i="85"/>
  <c r="J6" i="85"/>
  <c r="J5" i="85"/>
  <c r="N3" i="85"/>
  <c r="G49" i="86"/>
  <c r="G1" i="86" s="1"/>
  <c r="E49" i="86"/>
  <c r="E1" i="86" s="1"/>
  <c r="C49" i="86"/>
  <c r="C1" i="86" s="1"/>
  <c r="G48" i="86"/>
  <c r="J44" i="86"/>
  <c r="J43" i="86"/>
  <c r="J42" i="86"/>
  <c r="J41" i="86"/>
  <c r="J40" i="86"/>
  <c r="J39" i="86"/>
  <c r="J38" i="86"/>
  <c r="J37" i="86"/>
  <c r="J36" i="86"/>
  <c r="J35" i="86"/>
  <c r="J34" i="86"/>
  <c r="J33" i="86"/>
  <c r="J32" i="86"/>
  <c r="J31" i="86"/>
  <c r="J30" i="86"/>
  <c r="J29" i="86"/>
  <c r="J28" i="86"/>
  <c r="J27" i="86"/>
  <c r="J26" i="86"/>
  <c r="J25" i="86"/>
  <c r="J24" i="86"/>
  <c r="J23" i="86"/>
  <c r="J22" i="86"/>
  <c r="J21" i="86"/>
  <c r="J20" i="86"/>
  <c r="J19" i="86"/>
  <c r="J18" i="86"/>
  <c r="J17" i="86"/>
  <c r="J16" i="86"/>
  <c r="J15" i="86"/>
  <c r="J14" i="86"/>
  <c r="J13" i="86"/>
  <c r="J12" i="86"/>
  <c r="J11" i="86"/>
  <c r="J10" i="86"/>
  <c r="J9" i="86"/>
  <c r="J8" i="86"/>
  <c r="J7" i="86"/>
  <c r="J6" i="86"/>
  <c r="J4" i="86"/>
  <c r="N3" i="86"/>
  <c r="G49" i="110"/>
  <c r="G1" i="110" s="1"/>
  <c r="E49" i="110"/>
  <c r="E1" i="110" s="1"/>
  <c r="C49" i="110"/>
  <c r="C1" i="110" s="1"/>
  <c r="G48" i="110"/>
  <c r="J44" i="110"/>
  <c r="J43" i="110"/>
  <c r="J42" i="110"/>
  <c r="J41" i="110"/>
  <c r="J40" i="110"/>
  <c r="J39" i="110"/>
  <c r="J38" i="110"/>
  <c r="J37" i="110"/>
  <c r="J36" i="110"/>
  <c r="J35" i="110"/>
  <c r="J34" i="110"/>
  <c r="J33" i="110"/>
  <c r="J32" i="110"/>
  <c r="J31" i="110"/>
  <c r="J30" i="110"/>
  <c r="J29" i="110"/>
  <c r="J28" i="110"/>
  <c r="J27" i="110"/>
  <c r="J26" i="110"/>
  <c r="J25" i="110"/>
  <c r="J24" i="110"/>
  <c r="J23" i="110"/>
  <c r="J22" i="110"/>
  <c r="J21" i="110"/>
  <c r="J20" i="110"/>
  <c r="J19" i="110"/>
  <c r="J18" i="110"/>
  <c r="J17" i="110"/>
  <c r="J16" i="110"/>
  <c r="J15" i="110"/>
  <c r="J14" i="110"/>
  <c r="J13" i="110"/>
  <c r="J12" i="110"/>
  <c r="J11" i="110"/>
  <c r="J10" i="110"/>
  <c r="J9" i="110"/>
  <c r="J8" i="110"/>
  <c r="J7" i="110"/>
  <c r="J6" i="110"/>
  <c r="J5" i="110"/>
  <c r="J4" i="110"/>
  <c r="N3" i="110"/>
  <c r="G49" i="111"/>
  <c r="G1" i="111" s="1"/>
  <c r="E49" i="111"/>
  <c r="E1" i="111" s="1"/>
  <c r="C49" i="111"/>
  <c r="C1" i="111" s="1"/>
  <c r="G48" i="111"/>
  <c r="J44" i="111"/>
  <c r="J43" i="111"/>
  <c r="J42" i="111"/>
  <c r="J41" i="111"/>
  <c r="J40" i="111"/>
  <c r="J39" i="111"/>
  <c r="J38" i="111"/>
  <c r="J37" i="111"/>
  <c r="J36" i="111"/>
  <c r="J35" i="111"/>
  <c r="J34" i="111"/>
  <c r="J33" i="111"/>
  <c r="J32" i="111"/>
  <c r="J31" i="111"/>
  <c r="J30" i="111"/>
  <c r="J29" i="111"/>
  <c r="J28" i="111"/>
  <c r="J27" i="111"/>
  <c r="J26" i="111"/>
  <c r="J25" i="111"/>
  <c r="J24" i="111"/>
  <c r="J23" i="111"/>
  <c r="J22" i="111"/>
  <c r="J21" i="111"/>
  <c r="J20" i="111"/>
  <c r="J19" i="111"/>
  <c r="J18" i="111"/>
  <c r="J17" i="111"/>
  <c r="J16" i="111"/>
  <c r="J15" i="111"/>
  <c r="J14" i="111"/>
  <c r="J13" i="111"/>
  <c r="J12" i="111"/>
  <c r="J11" i="111"/>
  <c r="J10" i="111"/>
  <c r="J9" i="111"/>
  <c r="J8" i="111"/>
  <c r="J7" i="111"/>
  <c r="J6" i="111"/>
  <c r="J5" i="111"/>
  <c r="J4" i="111"/>
  <c r="N3" i="111"/>
  <c r="G49" i="89"/>
  <c r="G1" i="89" s="1"/>
  <c r="E49" i="89"/>
  <c r="E1" i="89" s="1"/>
  <c r="C49" i="89"/>
  <c r="C1" i="89" s="1"/>
  <c r="G48" i="89"/>
  <c r="J44" i="89"/>
  <c r="J43" i="89"/>
  <c r="J42" i="89"/>
  <c r="J41" i="89"/>
  <c r="J40" i="89"/>
  <c r="J39" i="89"/>
  <c r="J38" i="89"/>
  <c r="J37" i="89"/>
  <c r="J36" i="89"/>
  <c r="J35" i="89"/>
  <c r="J34" i="89"/>
  <c r="J33" i="89"/>
  <c r="J32" i="89"/>
  <c r="J31" i="89"/>
  <c r="J30" i="89"/>
  <c r="J29" i="89"/>
  <c r="J28" i="89"/>
  <c r="J27" i="89"/>
  <c r="J26" i="89"/>
  <c r="J25" i="89"/>
  <c r="J24" i="89"/>
  <c r="J23" i="89"/>
  <c r="J22" i="89"/>
  <c r="J21" i="89"/>
  <c r="J20" i="89"/>
  <c r="J19" i="89"/>
  <c r="J18" i="89"/>
  <c r="J17" i="89"/>
  <c r="J16" i="89"/>
  <c r="J15" i="89"/>
  <c r="J14" i="89"/>
  <c r="J13" i="89"/>
  <c r="J12" i="89"/>
  <c r="J11" i="89"/>
  <c r="J10" i="89"/>
  <c r="J9" i="89"/>
  <c r="J8" i="89"/>
  <c r="J7" i="89"/>
  <c r="J6" i="89"/>
  <c r="J5" i="89"/>
  <c r="N3" i="89"/>
  <c r="G49" i="90"/>
  <c r="G1" i="90" s="1"/>
  <c r="E49" i="90"/>
  <c r="E1" i="90" s="1"/>
  <c r="C49" i="90"/>
  <c r="C1" i="90" s="1"/>
  <c r="G48" i="90"/>
  <c r="J44" i="90"/>
  <c r="J43" i="90"/>
  <c r="J42" i="90"/>
  <c r="J41" i="90"/>
  <c r="J40" i="90"/>
  <c r="J39" i="90"/>
  <c r="J38" i="90"/>
  <c r="J37" i="90"/>
  <c r="J36" i="90"/>
  <c r="J35" i="90"/>
  <c r="J34" i="90"/>
  <c r="J33" i="90"/>
  <c r="J32" i="90"/>
  <c r="J31" i="90"/>
  <c r="J30" i="90"/>
  <c r="J29" i="90"/>
  <c r="J28" i="90"/>
  <c r="J27" i="90"/>
  <c r="J26" i="90"/>
  <c r="J25" i="90"/>
  <c r="J24" i="90"/>
  <c r="J23" i="90"/>
  <c r="J22" i="90"/>
  <c r="J21" i="90"/>
  <c r="J20" i="90"/>
  <c r="J19" i="90"/>
  <c r="J18" i="90"/>
  <c r="J17" i="90"/>
  <c r="J16" i="90"/>
  <c r="J15" i="90"/>
  <c r="J14" i="90"/>
  <c r="J13" i="90"/>
  <c r="J12" i="90"/>
  <c r="J11" i="90"/>
  <c r="J10" i="90"/>
  <c r="J9" i="90"/>
  <c r="J8" i="90"/>
  <c r="J7" i="90"/>
  <c r="J6" i="90"/>
  <c r="J5" i="90"/>
  <c r="N3" i="90"/>
  <c r="G49" i="91"/>
  <c r="G1" i="91" s="1"/>
  <c r="E49" i="91"/>
  <c r="E1" i="91" s="1"/>
  <c r="C49" i="91"/>
  <c r="C1" i="91" s="1"/>
  <c r="G48" i="91"/>
  <c r="J44" i="91"/>
  <c r="J43" i="91"/>
  <c r="J42" i="91"/>
  <c r="J41" i="91"/>
  <c r="J40" i="91"/>
  <c r="J39" i="91"/>
  <c r="J38" i="91"/>
  <c r="J37" i="91"/>
  <c r="J36" i="91"/>
  <c r="J35" i="91"/>
  <c r="J34" i="91"/>
  <c r="J33" i="91"/>
  <c r="J32" i="91"/>
  <c r="J31" i="91"/>
  <c r="J30" i="91"/>
  <c r="J29" i="91"/>
  <c r="J28" i="91"/>
  <c r="J27" i="91"/>
  <c r="J26" i="91"/>
  <c r="J25" i="91"/>
  <c r="J24" i="91"/>
  <c r="J23" i="91"/>
  <c r="J22" i="91"/>
  <c r="J21" i="91"/>
  <c r="J20" i="91"/>
  <c r="J19" i="91"/>
  <c r="J18" i="91"/>
  <c r="J17" i="91"/>
  <c r="J16" i="91"/>
  <c r="J15" i="91"/>
  <c r="J14" i="91"/>
  <c r="J13" i="91"/>
  <c r="J12" i="91"/>
  <c r="J11" i="91"/>
  <c r="J10" i="91"/>
  <c r="J9" i="91"/>
  <c r="J8" i="91"/>
  <c r="J7" i="91"/>
  <c r="J6" i="91"/>
  <c r="J5" i="91"/>
  <c r="J4" i="91"/>
  <c r="N3" i="91"/>
  <c r="G49" i="92"/>
  <c r="G1" i="92" s="1"/>
  <c r="E49" i="92"/>
  <c r="E1" i="92" s="1"/>
  <c r="C49" i="92"/>
  <c r="C1" i="92" s="1"/>
  <c r="G48" i="92"/>
  <c r="J44" i="92"/>
  <c r="J43" i="92"/>
  <c r="J42" i="92"/>
  <c r="J41" i="92"/>
  <c r="J40" i="92"/>
  <c r="J39" i="92"/>
  <c r="J38" i="92"/>
  <c r="J37" i="92"/>
  <c r="J36" i="92"/>
  <c r="J35" i="92"/>
  <c r="J34" i="92"/>
  <c r="J33" i="92"/>
  <c r="J32" i="92"/>
  <c r="J31" i="92"/>
  <c r="J30" i="92"/>
  <c r="J29" i="92"/>
  <c r="J28" i="92"/>
  <c r="J27" i="92"/>
  <c r="J26" i="92"/>
  <c r="J25" i="92"/>
  <c r="J24" i="92"/>
  <c r="J23" i="92"/>
  <c r="J22" i="92"/>
  <c r="J21" i="92"/>
  <c r="J20" i="92"/>
  <c r="J19" i="92"/>
  <c r="J18" i="92"/>
  <c r="J17" i="92"/>
  <c r="J16" i="92"/>
  <c r="J15" i="92"/>
  <c r="J14" i="92"/>
  <c r="J13" i="92"/>
  <c r="J12" i="92"/>
  <c r="J11" i="92"/>
  <c r="J10" i="92"/>
  <c r="J9" i="92"/>
  <c r="J8" i="92"/>
  <c r="J7" i="92"/>
  <c r="J6" i="92"/>
  <c r="J5" i="92"/>
  <c r="J4" i="92"/>
  <c r="N3" i="92"/>
  <c r="L44" i="92"/>
  <c r="G49" i="93"/>
  <c r="G1" i="93" s="1"/>
  <c r="E49" i="93"/>
  <c r="E1" i="93" s="1"/>
  <c r="C49" i="93"/>
  <c r="C1" i="93" s="1"/>
  <c r="G48" i="93"/>
  <c r="J44" i="93"/>
  <c r="J43" i="93"/>
  <c r="J42" i="93"/>
  <c r="J41" i="93"/>
  <c r="J40" i="93"/>
  <c r="J39" i="93"/>
  <c r="J38" i="93"/>
  <c r="J37" i="93"/>
  <c r="J36" i="93"/>
  <c r="J35" i="93"/>
  <c r="J34" i="93"/>
  <c r="J33" i="93"/>
  <c r="J32" i="93"/>
  <c r="J31" i="93"/>
  <c r="J30" i="93"/>
  <c r="J29" i="93"/>
  <c r="J28" i="93"/>
  <c r="J27" i="93"/>
  <c r="J26" i="93"/>
  <c r="J25" i="93"/>
  <c r="J24" i="93"/>
  <c r="J23" i="93"/>
  <c r="J22" i="93"/>
  <c r="J21" i="93"/>
  <c r="J20" i="93"/>
  <c r="J19" i="93"/>
  <c r="J18" i="93"/>
  <c r="J17" i="93"/>
  <c r="J16" i="93"/>
  <c r="J15" i="93"/>
  <c r="J14" i="93"/>
  <c r="J13" i="93"/>
  <c r="J12" i="93"/>
  <c r="J11" i="93"/>
  <c r="J10" i="93"/>
  <c r="J9" i="93"/>
  <c r="J8" i="93"/>
  <c r="J7" i="93"/>
  <c r="J6" i="93"/>
  <c r="J5" i="93"/>
  <c r="J4" i="93"/>
  <c r="N3" i="93"/>
  <c r="G49" i="94"/>
  <c r="G1" i="94" s="1"/>
  <c r="E49" i="94"/>
  <c r="E1" i="94" s="1"/>
  <c r="C49" i="94"/>
  <c r="C1" i="94" s="1"/>
  <c r="G48" i="94"/>
  <c r="J44" i="94"/>
  <c r="J43" i="94"/>
  <c r="J42" i="94"/>
  <c r="J41" i="94"/>
  <c r="J40" i="94"/>
  <c r="J39" i="94"/>
  <c r="J38" i="94"/>
  <c r="J37" i="94"/>
  <c r="J36" i="94"/>
  <c r="J35" i="94"/>
  <c r="J34" i="94"/>
  <c r="J33" i="94"/>
  <c r="J32" i="94"/>
  <c r="J31" i="94"/>
  <c r="J30" i="94"/>
  <c r="J29" i="94"/>
  <c r="J28" i="94"/>
  <c r="J27" i="94"/>
  <c r="J26" i="94"/>
  <c r="J25" i="94"/>
  <c r="J24" i="94"/>
  <c r="J23" i="94"/>
  <c r="J22" i="94"/>
  <c r="J21" i="94"/>
  <c r="J20" i="94"/>
  <c r="J19" i="94"/>
  <c r="J18" i="94"/>
  <c r="J17" i="94"/>
  <c r="J16" i="94"/>
  <c r="J15" i="94"/>
  <c r="J14" i="94"/>
  <c r="J13" i="94"/>
  <c r="J12" i="94"/>
  <c r="J11" i="94"/>
  <c r="J10" i="94"/>
  <c r="J9" i="94"/>
  <c r="J8" i="94"/>
  <c r="J7" i="94"/>
  <c r="J6" i="94"/>
  <c r="J5" i="94"/>
  <c r="J4" i="94"/>
  <c r="N3" i="94"/>
  <c r="G49" i="95"/>
  <c r="G1" i="95" s="1"/>
  <c r="E49" i="95"/>
  <c r="E1" i="95" s="1"/>
  <c r="C49" i="95"/>
  <c r="C1" i="95" s="1"/>
  <c r="G48" i="95"/>
  <c r="J44" i="95"/>
  <c r="J43" i="95"/>
  <c r="J42" i="95"/>
  <c r="J41" i="95"/>
  <c r="J40" i="95"/>
  <c r="J39" i="95"/>
  <c r="J38" i="95"/>
  <c r="J37" i="95"/>
  <c r="J36" i="95"/>
  <c r="J35" i="95"/>
  <c r="J34" i="95"/>
  <c r="J33" i="95"/>
  <c r="J32" i="95"/>
  <c r="J31" i="95"/>
  <c r="J30" i="95"/>
  <c r="J29" i="95"/>
  <c r="J28" i="95"/>
  <c r="J27" i="95"/>
  <c r="J26" i="95"/>
  <c r="J25" i="95"/>
  <c r="J24" i="95"/>
  <c r="J23" i="95"/>
  <c r="J22" i="95"/>
  <c r="J21" i="95"/>
  <c r="J20" i="95"/>
  <c r="J19" i="95"/>
  <c r="J18" i="95"/>
  <c r="J17" i="95"/>
  <c r="J16" i="95"/>
  <c r="J15" i="95"/>
  <c r="J14" i="95"/>
  <c r="J13" i="95"/>
  <c r="J12" i="95"/>
  <c r="J11" i="95"/>
  <c r="J10" i="95"/>
  <c r="J9" i="95"/>
  <c r="J8" i="95"/>
  <c r="J7" i="95"/>
  <c r="J6" i="95"/>
  <c r="J5" i="95"/>
  <c r="N3" i="95"/>
  <c r="G49" i="106"/>
  <c r="G1" i="106" s="1"/>
  <c r="E49" i="106"/>
  <c r="E1" i="106" s="1"/>
  <c r="C49" i="106"/>
  <c r="C1" i="106" s="1"/>
  <c r="G48" i="106"/>
  <c r="J22" i="106"/>
  <c r="J21" i="106"/>
  <c r="J20" i="106"/>
  <c r="J19" i="106"/>
  <c r="J18" i="106"/>
  <c r="J17" i="106"/>
  <c r="J16" i="106"/>
  <c r="J15" i="106"/>
  <c r="J14" i="106"/>
  <c r="J13" i="106"/>
  <c r="J12" i="106"/>
  <c r="J11" i="106"/>
  <c r="J10" i="106"/>
  <c r="J9" i="106"/>
  <c r="J8" i="106"/>
  <c r="J7" i="106"/>
  <c r="J5" i="106"/>
  <c r="J4" i="106"/>
  <c r="N3" i="106"/>
  <c r="G49" i="96"/>
  <c r="G1" i="96" s="1"/>
  <c r="E49" i="96"/>
  <c r="E1" i="96" s="1"/>
  <c r="C49" i="96"/>
  <c r="C1" i="96" s="1"/>
  <c r="J44" i="96"/>
  <c r="I44" i="96"/>
  <c r="J43" i="96"/>
  <c r="I43" i="96"/>
  <c r="J42" i="96"/>
  <c r="I42" i="96"/>
  <c r="J41" i="96"/>
  <c r="I41" i="96"/>
  <c r="I40" i="96"/>
  <c r="J40" i="96" s="1"/>
  <c r="I39" i="96"/>
  <c r="J39" i="96" s="1"/>
  <c r="J38" i="96"/>
  <c r="I38" i="96"/>
  <c r="I37" i="96"/>
  <c r="J37" i="96" s="1"/>
  <c r="J36" i="96"/>
  <c r="I36" i="96"/>
  <c r="I35" i="96"/>
  <c r="J35" i="96" s="1"/>
  <c r="I34" i="96"/>
  <c r="J34" i="96" s="1"/>
  <c r="J33" i="96"/>
  <c r="I33" i="96"/>
  <c r="I32" i="96"/>
  <c r="J32" i="96" s="1"/>
  <c r="I31" i="96"/>
  <c r="J31" i="96" s="1"/>
  <c r="J30" i="96"/>
  <c r="I30" i="96"/>
  <c r="I29" i="96"/>
  <c r="J29" i="96" s="1"/>
  <c r="J28" i="96"/>
  <c r="I28" i="96"/>
  <c r="I27" i="96"/>
  <c r="J27" i="96" s="1"/>
  <c r="I26" i="96"/>
  <c r="J26" i="96" s="1"/>
  <c r="J25" i="96"/>
  <c r="I25" i="96"/>
  <c r="I24" i="96"/>
  <c r="J24" i="96" s="1"/>
  <c r="I23" i="96"/>
  <c r="J23" i="96" s="1"/>
  <c r="I22" i="96"/>
  <c r="J22" i="96" s="1"/>
  <c r="J21" i="96"/>
  <c r="I21" i="96"/>
  <c r="J20" i="96"/>
  <c r="I20" i="96"/>
  <c r="I19" i="96"/>
  <c r="J19" i="96" s="1"/>
  <c r="J18" i="96"/>
  <c r="I18" i="96"/>
  <c r="J17" i="96"/>
  <c r="I17" i="96"/>
  <c r="I16" i="96"/>
  <c r="J16" i="96" s="1"/>
  <c r="I15" i="96"/>
  <c r="J15" i="96" s="1"/>
  <c r="I14" i="96"/>
  <c r="J14" i="96" s="1"/>
  <c r="I13" i="96"/>
  <c r="J13" i="96" s="1"/>
  <c r="J12" i="96"/>
  <c r="I12" i="96"/>
  <c r="I11" i="96"/>
  <c r="J11" i="96" s="1"/>
  <c r="I10" i="96"/>
  <c r="J10" i="96" s="1"/>
  <c r="J9" i="96"/>
  <c r="I9" i="96"/>
  <c r="J8" i="96"/>
  <c r="I8" i="96"/>
  <c r="I7" i="96"/>
  <c r="J7" i="96" s="1"/>
  <c r="J6" i="96"/>
  <c r="I6" i="96"/>
  <c r="J5" i="96"/>
  <c r="I5" i="96"/>
  <c r="I4" i="96"/>
  <c r="G49" i="99"/>
  <c r="G1" i="99" s="1"/>
  <c r="E49" i="99"/>
  <c r="E1" i="99" s="1"/>
  <c r="C49" i="99"/>
  <c r="C1" i="99" s="1"/>
  <c r="G48" i="99"/>
  <c r="J44" i="99"/>
  <c r="J43" i="99"/>
  <c r="J42" i="99"/>
  <c r="J41" i="99"/>
  <c r="J40" i="99"/>
  <c r="J39" i="99"/>
  <c r="J38" i="99"/>
  <c r="J37" i="99"/>
  <c r="J36" i="99"/>
  <c r="J35" i="99"/>
  <c r="J34" i="99"/>
  <c r="J33" i="99"/>
  <c r="J32" i="99"/>
  <c r="J31" i="99"/>
  <c r="J30" i="99"/>
  <c r="J29" i="99"/>
  <c r="J28" i="99"/>
  <c r="J27" i="99"/>
  <c r="J26" i="99"/>
  <c r="J25" i="99"/>
  <c r="J24" i="99"/>
  <c r="J23" i="99"/>
  <c r="J22" i="99"/>
  <c r="J21" i="99"/>
  <c r="J20" i="99"/>
  <c r="J19" i="99"/>
  <c r="J18" i="99"/>
  <c r="J17" i="99"/>
  <c r="J16" i="99"/>
  <c r="J15" i="99"/>
  <c r="J14" i="99"/>
  <c r="J13" i="99"/>
  <c r="J12" i="99"/>
  <c r="J11" i="99"/>
  <c r="J10" i="99"/>
  <c r="J9" i="99"/>
  <c r="J8" i="99"/>
  <c r="J7" i="99"/>
  <c r="J6" i="99"/>
  <c r="J5" i="99"/>
  <c r="J4" i="99"/>
  <c r="N3" i="99"/>
  <c r="L44" i="85" l="1"/>
  <c r="L44" i="109"/>
  <c r="L44" i="72"/>
  <c r="L44" i="75"/>
  <c r="A49" i="99"/>
  <c r="A49" i="110"/>
  <c r="A48" i="110" s="1"/>
  <c r="B47" i="110" s="1"/>
  <c r="A49" i="75"/>
  <c r="A49" i="68"/>
  <c r="A48" i="68" s="1"/>
  <c r="B47" i="68" s="1"/>
  <c r="A49" i="78"/>
  <c r="A48" i="78" s="1"/>
  <c r="B47" i="78" s="1"/>
  <c r="A49" i="102"/>
  <c r="A48" i="102" s="1"/>
  <c r="B47" i="102" s="1"/>
  <c r="A49" i="82"/>
  <c r="A48" i="82" s="1"/>
  <c r="B47" i="82" s="1"/>
  <c r="A49" i="111"/>
  <c r="A48" i="111" s="1"/>
  <c r="B47" i="111" s="1"/>
  <c r="K35" i="97"/>
  <c r="M35" i="97" s="1"/>
  <c r="K36" i="97"/>
  <c r="M36" i="97" s="1"/>
  <c r="K37" i="97"/>
  <c r="M37" i="97" s="1"/>
  <c r="K38" i="97"/>
  <c r="M38" i="97" s="1"/>
  <c r="A49" i="94"/>
  <c r="A48" i="94" s="1"/>
  <c r="B47" i="94" s="1"/>
  <c r="A49" i="83"/>
  <c r="A48" i="83" s="1"/>
  <c r="B47" i="83" s="1"/>
  <c r="A49" i="104"/>
  <c r="A48" i="104" s="1"/>
  <c r="B47" i="104" s="1"/>
  <c r="A49" i="72"/>
  <c r="A48" i="72" s="1"/>
  <c r="B47" i="72" s="1"/>
  <c r="A49" i="92"/>
  <c r="A48" i="92" s="1"/>
  <c r="B47" i="92" s="1"/>
  <c r="A49" i="91"/>
  <c r="A48" i="91" s="1"/>
  <c r="B47" i="91" s="1"/>
  <c r="A49" i="93"/>
  <c r="A48" i="93" s="1"/>
  <c r="B47" i="93" s="1"/>
  <c r="A49" i="79"/>
  <c r="A48" i="79" s="1"/>
  <c r="B47" i="79" s="1"/>
  <c r="K65" i="97"/>
  <c r="L65" i="97"/>
  <c r="K66" i="97"/>
  <c r="L66" i="97"/>
  <c r="L45" i="96"/>
  <c r="L46" i="96"/>
  <c r="A49" i="65"/>
  <c r="A48" i="65" s="1"/>
  <c r="B47" i="65" s="1"/>
  <c r="K23" i="97"/>
  <c r="M23" i="97" s="1"/>
  <c r="K24" i="97"/>
  <c r="M24" i="97" s="1"/>
  <c r="K25" i="97"/>
  <c r="M25" i="97" s="1"/>
  <c r="K33" i="97"/>
  <c r="M33" i="97" s="1"/>
  <c r="K34" i="97"/>
  <c r="M34" i="97" s="1"/>
  <c r="L67" i="97"/>
  <c r="L64" i="97"/>
  <c r="L63" i="97"/>
  <c r="L62" i="97"/>
  <c r="L61" i="97"/>
  <c r="L60" i="97"/>
  <c r="L59" i="97"/>
  <c r="L58" i="97"/>
  <c r="L57" i="97"/>
  <c r="L56" i="97"/>
  <c r="L55" i="97"/>
  <c r="L30" i="106"/>
  <c r="L23" i="106"/>
  <c r="L39" i="106"/>
  <c r="L45" i="106"/>
  <c r="L24" i="106"/>
  <c r="L32" i="106"/>
  <c r="L40" i="106"/>
  <c r="L46" i="106"/>
  <c r="L25" i="106"/>
  <c r="L41" i="106"/>
  <c r="L26" i="106"/>
  <c r="L37" i="106"/>
  <c r="L38" i="106"/>
  <c r="L31" i="106"/>
  <c r="L33" i="106"/>
  <c r="L34" i="106"/>
  <c r="L42" i="106"/>
  <c r="L27" i="106"/>
  <c r="L35" i="106"/>
  <c r="L43" i="106"/>
  <c r="L28" i="106"/>
  <c r="L36" i="106"/>
  <c r="L44" i="106"/>
  <c r="L29" i="106"/>
  <c r="L5" i="103"/>
  <c r="L29" i="103"/>
  <c r="L39" i="103"/>
  <c r="L18" i="103"/>
  <c r="L22" i="103"/>
  <c r="L46" i="103"/>
  <c r="L26" i="103"/>
  <c r="L6" i="103"/>
  <c r="L30" i="103"/>
  <c r="L7" i="103"/>
  <c r="L31" i="103"/>
  <c r="L32" i="103"/>
  <c r="L9" i="103"/>
  <c r="L33" i="103"/>
  <c r="L34" i="103"/>
  <c r="L35" i="103"/>
  <c r="L36" i="103"/>
  <c r="L40" i="103"/>
  <c r="L42" i="103"/>
  <c r="L20" i="103"/>
  <c r="L23" i="103"/>
  <c r="L25" i="103"/>
  <c r="L27" i="103"/>
  <c r="L8" i="103"/>
  <c r="L37" i="103"/>
  <c r="L16" i="103"/>
  <c r="L43" i="103"/>
  <c r="L45" i="103"/>
  <c r="L10" i="103"/>
  <c r="L17" i="103"/>
  <c r="L19" i="103"/>
  <c r="L21" i="103"/>
  <c r="L4" i="103"/>
  <c r="L11" i="103"/>
  <c r="L38" i="103"/>
  <c r="L41" i="103"/>
  <c r="L44" i="103"/>
  <c r="L24" i="103"/>
  <c r="L28" i="103"/>
  <c r="L12" i="103"/>
  <c r="L13" i="103"/>
  <c r="L14" i="103"/>
  <c r="L15" i="103"/>
  <c r="N2" i="79"/>
  <c r="B1" i="79"/>
  <c r="N2" i="99"/>
  <c r="B1" i="99"/>
  <c r="L46" i="75"/>
  <c r="L45" i="75"/>
  <c r="L44" i="74"/>
  <c r="L45" i="74"/>
  <c r="L46" i="74"/>
  <c r="L45" i="100"/>
  <c r="L46" i="100"/>
  <c r="L20" i="90"/>
  <c r="L45" i="90"/>
  <c r="L46" i="90"/>
  <c r="L42" i="108"/>
  <c r="L45" i="108"/>
  <c r="L46" i="108"/>
  <c r="L46" i="110"/>
  <c r="L45" i="110"/>
  <c r="L46" i="101"/>
  <c r="L45" i="101"/>
  <c r="L43" i="73"/>
  <c r="L45" i="73"/>
  <c r="L46" i="73"/>
  <c r="L46" i="89"/>
  <c r="L45" i="89"/>
  <c r="L9" i="92"/>
  <c r="L45" i="92"/>
  <c r="L46" i="92"/>
  <c r="L45" i="91"/>
  <c r="L46" i="91"/>
  <c r="L45" i="93"/>
  <c r="L46" i="93"/>
  <c r="L44" i="76"/>
  <c r="L45" i="76"/>
  <c r="L46" i="76"/>
  <c r="L45" i="88"/>
  <c r="L46" i="88"/>
  <c r="L7" i="94"/>
  <c r="L46" i="94"/>
  <c r="L45" i="94"/>
  <c r="L11" i="77"/>
  <c r="L46" i="77"/>
  <c r="L45" i="77"/>
  <c r="L45" i="69"/>
  <c r="L46" i="69"/>
  <c r="L46" i="102"/>
  <c r="L45" i="102"/>
  <c r="L45" i="80"/>
  <c r="L46" i="80"/>
  <c r="L46" i="87"/>
  <c r="L45" i="87"/>
  <c r="L45" i="86"/>
  <c r="L46" i="86"/>
  <c r="L45" i="82"/>
  <c r="L46" i="82"/>
  <c r="L43" i="109"/>
  <c r="L45" i="78"/>
  <c r="L43" i="79"/>
  <c r="L46" i="79"/>
  <c r="L45" i="79"/>
  <c r="L46" i="70"/>
  <c r="L45" i="70"/>
  <c r="L45" i="71"/>
  <c r="L46" i="71"/>
  <c r="L46" i="81"/>
  <c r="L45" i="81"/>
  <c r="L46" i="83"/>
  <c r="L45" i="83"/>
  <c r="L45" i="65"/>
  <c r="L46" i="65"/>
  <c r="L45" i="67"/>
  <c r="L46" i="67"/>
  <c r="L46" i="109"/>
  <c r="L45" i="109"/>
  <c r="L45" i="95"/>
  <c r="L46" i="95"/>
  <c r="L42" i="99"/>
  <c r="L45" i="99"/>
  <c r="L46" i="99"/>
  <c r="L45" i="68"/>
  <c r="L46" i="68"/>
  <c r="L45" i="72"/>
  <c r="L46" i="72"/>
  <c r="L45" i="111"/>
  <c r="L46" i="111"/>
  <c r="L45" i="84"/>
  <c r="L46" i="84"/>
  <c r="L46" i="85"/>
  <c r="L45" i="85"/>
  <c r="L43" i="107"/>
  <c r="L46" i="107"/>
  <c r="L45" i="107"/>
  <c r="L43" i="104"/>
  <c r="L46" i="104"/>
  <c r="L45" i="104"/>
  <c r="N2" i="78"/>
  <c r="N2" i="82"/>
  <c r="L44" i="93"/>
  <c r="N2" i="80"/>
  <c r="N2" i="102"/>
  <c r="N2" i="85"/>
  <c r="L13" i="77"/>
  <c r="L34" i="92"/>
  <c r="L10" i="91"/>
  <c r="L4" i="92"/>
  <c r="L42" i="77"/>
  <c r="N2" i="81"/>
  <c r="L42" i="91"/>
  <c r="L44" i="86"/>
  <c r="N2" i="108"/>
  <c r="N2" i="94"/>
  <c r="F55" i="97"/>
  <c r="F56" i="97"/>
  <c r="Y51" i="97"/>
  <c r="L43" i="91"/>
  <c r="L44" i="81"/>
  <c r="L42" i="72"/>
  <c r="L9" i="94"/>
  <c r="L13" i="91"/>
  <c r="L44" i="91"/>
  <c r="L7" i="74"/>
  <c r="L43" i="82"/>
  <c r="L44" i="104"/>
  <c r="L12" i="104"/>
  <c r="L8" i="74"/>
  <c r="L5" i="81"/>
  <c r="L44" i="108"/>
  <c r="L44" i="78"/>
  <c r="L42" i="81"/>
  <c r="L13" i="94"/>
  <c r="L42" i="86"/>
  <c r="L43" i="81"/>
  <c r="L17" i="78"/>
  <c r="L43" i="74"/>
  <c r="L42" i="88"/>
  <c r="L23" i="93"/>
  <c r="L28" i="78"/>
  <c r="L43" i="78"/>
  <c r="L43" i="94"/>
  <c r="L10" i="74"/>
  <c r="L44" i="94"/>
  <c r="L42" i="74"/>
  <c r="N2" i="76"/>
  <c r="K63" i="97"/>
  <c r="K60" i="97"/>
  <c r="K67" i="97"/>
  <c r="K64" i="97"/>
  <c r="K61" i="97"/>
  <c r="K62" i="97"/>
  <c r="K56" i="97"/>
  <c r="L27" i="83"/>
  <c r="L44" i="83"/>
  <c r="L24" i="90"/>
  <c r="L17" i="90"/>
  <c r="L42" i="90"/>
  <c r="L10" i="90"/>
  <c r="L9" i="90"/>
  <c r="L25" i="90"/>
  <c r="L43" i="90"/>
  <c r="L13" i="76"/>
  <c r="N2" i="84"/>
  <c r="L44" i="68"/>
  <c r="L8" i="70"/>
  <c r="L14" i="104"/>
  <c r="L42" i="102"/>
  <c r="L7" i="76"/>
  <c r="L9" i="70"/>
  <c r="N2" i="110"/>
  <c r="L43" i="86"/>
  <c r="L22" i="78"/>
  <c r="N2" i="111"/>
  <c r="L42" i="93"/>
  <c r="L8" i="76"/>
  <c r="L4" i="100"/>
  <c r="L44" i="77"/>
  <c r="N2" i="83"/>
  <c r="N2" i="90"/>
  <c r="L24" i="78"/>
  <c r="L21" i="77"/>
  <c r="L8" i="104"/>
  <c r="L43" i="101"/>
  <c r="N2" i="73"/>
  <c r="N2" i="96"/>
  <c r="L5" i="70"/>
  <c r="L14" i="77"/>
  <c r="L6" i="104"/>
  <c r="N2" i="67"/>
  <c r="N2" i="92"/>
  <c r="L10" i="76"/>
  <c r="L43" i="100"/>
  <c r="L10" i="77"/>
  <c r="L12" i="76"/>
  <c r="L43" i="70"/>
  <c r="L44" i="101"/>
  <c r="N2" i="74"/>
  <c r="L5" i="76"/>
  <c r="I48" i="108"/>
  <c r="L5" i="91"/>
  <c r="N2" i="107"/>
  <c r="L25" i="78"/>
  <c r="L9" i="77"/>
  <c r="L7" i="91"/>
  <c r="L42" i="94"/>
  <c r="L42" i="78"/>
  <c r="L9" i="104"/>
  <c r="L43" i="76"/>
  <c r="N2" i="106"/>
  <c r="N2" i="72"/>
  <c r="H48" i="95"/>
  <c r="H48" i="68"/>
  <c r="AA12" i="100"/>
  <c r="I48" i="95"/>
  <c r="H48" i="80"/>
  <c r="G18" i="87" s="1"/>
  <c r="J18" i="87" s="1"/>
  <c r="N2" i="91"/>
  <c r="H48" i="99"/>
  <c r="J48" i="99" s="1"/>
  <c r="J1" i="99" s="1"/>
  <c r="I48" i="99"/>
  <c r="N2" i="86"/>
  <c r="N2" i="75"/>
  <c r="N2" i="65"/>
  <c r="N2" i="101"/>
  <c r="N2" i="103"/>
  <c r="N2" i="95"/>
  <c r="N2" i="109"/>
  <c r="N2" i="77"/>
  <c r="L24" i="93"/>
  <c r="L25" i="83"/>
  <c r="L7" i="83"/>
  <c r="L33" i="83"/>
  <c r="L4" i="83"/>
  <c r="L43" i="99"/>
  <c r="L17" i="96"/>
  <c r="I48" i="94"/>
  <c r="L17" i="93"/>
  <c r="L43" i="84"/>
  <c r="L35" i="84"/>
  <c r="L13" i="84"/>
  <c r="L42" i="84"/>
  <c r="L30" i="84"/>
  <c r="L44" i="84"/>
  <c r="L12" i="84"/>
  <c r="L34" i="84"/>
  <c r="L33" i="84"/>
  <c r="L28" i="83"/>
  <c r="L38" i="81"/>
  <c r="L24" i="81"/>
  <c r="H48" i="93"/>
  <c r="H48" i="94"/>
  <c r="I48" i="93"/>
  <c r="L40" i="110"/>
  <c r="L24" i="110"/>
  <c r="L14" i="110"/>
  <c r="L11" i="110"/>
  <c r="L39" i="110"/>
  <c r="L16" i="110"/>
  <c r="L34" i="110"/>
  <c r="L43" i="110"/>
  <c r="L20" i="110"/>
  <c r="L33" i="110"/>
  <c r="L31" i="110"/>
  <c r="L42" i="110"/>
  <c r="L27" i="110"/>
  <c r="L10" i="110"/>
  <c r="L17" i="110"/>
  <c r="L38" i="110"/>
  <c r="L35" i="110"/>
  <c r="L25" i="110"/>
  <c r="L35" i="90"/>
  <c r="J12" i="80"/>
  <c r="A49" i="80" s="1"/>
  <c r="A48" i="80" s="1"/>
  <c r="B47" i="80" s="1"/>
  <c r="J4" i="95"/>
  <c r="A49" i="95" s="1"/>
  <c r="A48" i="95" s="1"/>
  <c r="B47" i="95" s="1"/>
  <c r="L12" i="92"/>
  <c r="L33" i="92"/>
  <c r="J13" i="107"/>
  <c r="A49" i="107" s="1"/>
  <c r="A48" i="107" s="1"/>
  <c r="B47" i="107" s="1"/>
  <c r="I48" i="107"/>
  <c r="L20" i="94"/>
  <c r="L8" i="94"/>
  <c r="L4" i="94"/>
  <c r="L6" i="94"/>
  <c r="L24" i="94"/>
  <c r="L18" i="96"/>
  <c r="L12" i="96"/>
  <c r="L43" i="96"/>
  <c r="L35" i="96"/>
  <c r="L27" i="96"/>
  <c r="L19" i="96"/>
  <c r="L16" i="96"/>
  <c r="L13" i="96"/>
  <c r="L34" i="96"/>
  <c r="L26" i="96"/>
  <c r="L9" i="96"/>
  <c r="L42" i="96"/>
  <c r="L14" i="96"/>
  <c r="L11" i="96"/>
  <c r="L38" i="96"/>
  <c r="L10" i="96"/>
  <c r="L6" i="96"/>
  <c r="L28" i="93"/>
  <c r="L28" i="96"/>
  <c r="L43" i="95"/>
  <c r="L35" i="95"/>
  <c r="L25" i="95"/>
  <c r="L44" i="95"/>
  <c r="L6" i="93"/>
  <c r="L27" i="90"/>
  <c r="L23" i="90"/>
  <c r="L31" i="90"/>
  <c r="L18" i="90"/>
  <c r="L8" i="90"/>
  <c r="L36" i="90"/>
  <c r="L34" i="90"/>
  <c r="L32" i="90"/>
  <c r="L11" i="90"/>
  <c r="L41" i="90"/>
  <c r="L15" i="90"/>
  <c r="L38" i="90"/>
  <c r="L28" i="90"/>
  <c r="L26" i="90"/>
  <c r="L33" i="90"/>
  <c r="L22" i="90"/>
  <c r="L14" i="90"/>
  <c r="L13" i="90"/>
  <c r="L4" i="90"/>
  <c r="L30" i="90"/>
  <c r="L12" i="90"/>
  <c r="L40" i="90"/>
  <c r="L39" i="90"/>
  <c r="L4" i="109"/>
  <c r="L13" i="109"/>
  <c r="L12" i="109"/>
  <c r="L32" i="93"/>
  <c r="I48" i="109"/>
  <c r="H48" i="109"/>
  <c r="J4" i="109"/>
  <c r="A49" i="109" s="1"/>
  <c r="A48" i="109" s="1"/>
  <c r="B47" i="109" s="1"/>
  <c r="I48" i="80"/>
  <c r="L33" i="93"/>
  <c r="J8" i="76"/>
  <c r="I48" i="76"/>
  <c r="L38" i="99"/>
  <c r="L37" i="99"/>
  <c r="L44" i="99"/>
  <c r="L13" i="93"/>
  <c r="L21" i="92"/>
  <c r="L31" i="92"/>
  <c r="L40" i="92"/>
  <c r="L20" i="92"/>
  <c r="L32" i="92"/>
  <c r="L8" i="92"/>
  <c r="L6" i="92"/>
  <c r="L16" i="92"/>
  <c r="L41" i="92"/>
  <c r="L30" i="92"/>
  <c r="L18" i="92"/>
  <c r="L5" i="92"/>
  <c r="L26" i="92"/>
  <c r="L36" i="92"/>
  <c r="L24" i="92"/>
  <c r="L42" i="111"/>
  <c r="L34" i="111"/>
  <c r="L26" i="111"/>
  <c r="L38" i="111"/>
  <c r="L30" i="111"/>
  <c r="L22" i="111"/>
  <c r="L39" i="111"/>
  <c r="L14" i="111"/>
  <c r="L43" i="111"/>
  <c r="L10" i="111"/>
  <c r="L44" i="111"/>
  <c r="L25" i="111"/>
  <c r="L24" i="111"/>
  <c r="L13" i="111"/>
  <c r="L33" i="111"/>
  <c r="L32" i="111"/>
  <c r="L16" i="111"/>
  <c r="L29" i="111"/>
  <c r="L9" i="111"/>
  <c r="L19" i="111"/>
  <c r="L5" i="111"/>
  <c r="L28" i="111"/>
  <c r="L18" i="111"/>
  <c r="L27" i="111"/>
  <c r="L37" i="111"/>
  <c r="L17" i="111"/>
  <c r="L23" i="111"/>
  <c r="L36" i="111"/>
  <c r="L35" i="111"/>
  <c r="L15" i="111"/>
  <c r="L20" i="111"/>
  <c r="L21" i="111"/>
  <c r="L8" i="111"/>
  <c r="L41" i="111"/>
  <c r="L31" i="111"/>
  <c r="L12" i="111"/>
  <c r="L44" i="110"/>
  <c r="H48" i="92"/>
  <c r="I48" i="92"/>
  <c r="L40" i="73"/>
  <c r="L20" i="96"/>
  <c r="L39" i="93"/>
  <c r="L11" i="93"/>
  <c r="L19" i="93"/>
  <c r="L7" i="93"/>
  <c r="L38" i="93"/>
  <c r="L20" i="93"/>
  <c r="L16" i="93"/>
  <c r="L29" i="93"/>
  <c r="L5" i="93"/>
  <c r="L26" i="93"/>
  <c r="L4" i="93"/>
  <c r="L36" i="93"/>
  <c r="L34" i="93"/>
  <c r="L25" i="93"/>
  <c r="L8" i="93"/>
  <c r="L24" i="96"/>
  <c r="L10" i="94"/>
  <c r="I48" i="96"/>
  <c r="L44" i="96"/>
  <c r="H48" i="106"/>
  <c r="G34" i="87" s="1"/>
  <c r="J34" i="87" s="1"/>
  <c r="I48" i="106"/>
  <c r="J6" i="106"/>
  <c r="L42" i="95"/>
  <c r="L8" i="83"/>
  <c r="L20" i="83"/>
  <c r="I48" i="81"/>
  <c r="L8" i="96"/>
  <c r="L25" i="92"/>
  <c r="L11" i="111"/>
  <c r="L18" i="106"/>
  <c r="L6" i="72"/>
  <c r="L5" i="72"/>
  <c r="L8" i="72"/>
  <c r="L33" i="72"/>
  <c r="L7" i="72"/>
  <c r="H48" i="73"/>
  <c r="J5" i="73"/>
  <c r="L13" i="108"/>
  <c r="L10" i="108"/>
  <c r="L23" i="108"/>
  <c r="L7" i="108"/>
  <c r="L28" i="108"/>
  <c r="L5" i="108"/>
  <c r="L19" i="108"/>
  <c r="L8" i="108"/>
  <c r="L11" i="108"/>
  <c r="L9" i="108"/>
  <c r="L6" i="108"/>
  <c r="L14" i="108"/>
  <c r="L4" i="108"/>
  <c r="I48" i="111"/>
  <c r="H48" i="111"/>
  <c r="I48" i="83"/>
  <c r="L43" i="92"/>
  <c r="L35" i="92"/>
  <c r="L27" i="92"/>
  <c r="L19" i="92"/>
  <c r="L10" i="92"/>
  <c r="L7" i="92"/>
  <c r="L38" i="92"/>
  <c r="L17" i="92"/>
  <c r="L13" i="92"/>
  <c r="L23" i="92"/>
  <c r="L37" i="92"/>
  <c r="L28" i="92"/>
  <c r="L15" i="92"/>
  <c r="L11" i="92"/>
  <c r="H48" i="90"/>
  <c r="N2" i="89"/>
  <c r="L26" i="94"/>
  <c r="L18" i="94"/>
  <c r="L11" i="94"/>
  <c r="L18" i="93"/>
  <c r="L27" i="93"/>
  <c r="L4" i="91"/>
  <c r="L8" i="91"/>
  <c r="L14" i="91"/>
  <c r="L6" i="91"/>
  <c r="J4" i="90"/>
  <c r="A49" i="90" s="1"/>
  <c r="A48" i="90" s="1"/>
  <c r="B47" i="90" s="1"/>
  <c r="I48" i="90"/>
  <c r="I48" i="79"/>
  <c r="H48" i="79"/>
  <c r="L35" i="93"/>
  <c r="L12" i="93"/>
  <c r="L43" i="93"/>
  <c r="L15" i="93"/>
  <c r="L40" i="93"/>
  <c r="L31" i="93"/>
  <c r="L22" i="93"/>
  <c r="L37" i="93"/>
  <c r="L29" i="92"/>
  <c r="L39" i="92"/>
  <c r="J4" i="89"/>
  <c r="A49" i="89" s="1"/>
  <c r="A48" i="89" s="1"/>
  <c r="B47" i="89" s="1"/>
  <c r="I48" i="89"/>
  <c r="H48" i="89"/>
  <c r="L19" i="77"/>
  <c r="L18" i="77"/>
  <c r="L17" i="77"/>
  <c r="L25" i="77"/>
  <c r="L27" i="77"/>
  <c r="L23" i="77"/>
  <c r="L22" i="77"/>
  <c r="L26" i="77"/>
  <c r="I48" i="75"/>
  <c r="L14" i="94"/>
  <c r="L27" i="94"/>
  <c r="L10" i="93"/>
  <c r="L14" i="93"/>
  <c r="L14" i="92"/>
  <c r="J5" i="86"/>
  <c r="A49" i="86" s="1"/>
  <c r="A48" i="86" s="1"/>
  <c r="B47" i="86" s="1"/>
  <c r="I48" i="86"/>
  <c r="H48" i="86"/>
  <c r="G24" i="87" s="1"/>
  <c r="J24" i="87" s="1"/>
  <c r="J4" i="76"/>
  <c r="H48" i="76"/>
  <c r="J4" i="96"/>
  <c r="J6" i="84"/>
  <c r="I48" i="84"/>
  <c r="H48" i="96"/>
  <c r="L21" i="106"/>
  <c r="L12" i="94"/>
  <c r="L16" i="94"/>
  <c r="L30" i="93"/>
  <c r="N2" i="93"/>
  <c r="L22" i="92"/>
  <c r="L42" i="92"/>
  <c r="H48" i="83"/>
  <c r="L22" i="106"/>
  <c r="L9" i="93"/>
  <c r="L21" i="93"/>
  <c r="L41" i="93"/>
  <c r="H48" i="91"/>
  <c r="L35" i="89"/>
  <c r="L15" i="89"/>
  <c r="L12" i="89"/>
  <c r="L43" i="89"/>
  <c r="L22" i="89"/>
  <c r="L8" i="89"/>
  <c r="L30" i="89"/>
  <c r="L38" i="89"/>
  <c r="L4" i="89"/>
  <c r="L19" i="89"/>
  <c r="L21" i="89"/>
  <c r="L11" i="89"/>
  <c r="L42" i="89"/>
  <c r="L32" i="89"/>
  <c r="L16" i="89"/>
  <c r="L28" i="89"/>
  <c r="L39" i="89"/>
  <c r="L18" i="89"/>
  <c r="L7" i="89"/>
  <c r="L26" i="89"/>
  <c r="L44" i="89"/>
  <c r="L14" i="83"/>
  <c r="L24" i="83"/>
  <c r="L20" i="77"/>
  <c r="L5" i="83"/>
  <c r="L37" i="80"/>
  <c r="L42" i="80"/>
  <c r="L14" i="80"/>
  <c r="L44" i="80"/>
  <c r="L43" i="80"/>
  <c r="J9" i="77"/>
  <c r="A49" i="77" s="1"/>
  <c r="A48" i="77" s="1"/>
  <c r="B47" i="77" s="1"/>
  <c r="I48" i="77"/>
  <c r="L20" i="65"/>
  <c r="L32" i="65"/>
  <c r="L11" i="65"/>
  <c r="L37" i="65"/>
  <c r="L19" i="65"/>
  <c r="L15" i="65"/>
  <c r="L26" i="65"/>
  <c r="L39" i="65"/>
  <c r="L9" i="65"/>
  <c r="L14" i="65"/>
  <c r="L9" i="83"/>
  <c r="L38" i="83"/>
  <c r="H48" i="82"/>
  <c r="I48" i="82"/>
  <c r="L4" i="65"/>
  <c r="L12" i="91"/>
  <c r="L9" i="91"/>
  <c r="L11" i="91"/>
  <c r="L38" i="86"/>
  <c r="L39" i="80"/>
  <c r="L16" i="86"/>
  <c r="L13" i="86"/>
  <c r="L20" i="86"/>
  <c r="L37" i="86"/>
  <c r="L41" i="86"/>
  <c r="L32" i="86"/>
  <c r="L18" i="86"/>
  <c r="L9" i="86"/>
  <c r="L27" i="86"/>
  <c r="L34" i="86"/>
  <c r="L28" i="86"/>
  <c r="J7" i="67"/>
  <c r="H48" i="67"/>
  <c r="L18" i="69"/>
  <c r="L12" i="69"/>
  <c r="L9" i="69"/>
  <c r="L38" i="69"/>
  <c r="L13" i="69"/>
  <c r="L42" i="69"/>
  <c r="L33" i="69"/>
  <c r="L24" i="69"/>
  <c r="L39" i="69"/>
  <c r="L6" i="69"/>
  <c r="L34" i="69"/>
  <c r="L25" i="69"/>
  <c r="L41" i="69"/>
  <c r="L11" i="69"/>
  <c r="L35" i="69"/>
  <c r="L29" i="69"/>
  <c r="L28" i="69"/>
  <c r="L17" i="69"/>
  <c r="L23" i="69"/>
  <c r="L43" i="69"/>
  <c r="L31" i="69"/>
  <c r="L19" i="69"/>
  <c r="L37" i="69"/>
  <c r="L26" i="69"/>
  <c r="L10" i="69"/>
  <c r="L44" i="69"/>
  <c r="L22" i="69"/>
  <c r="L32" i="69"/>
  <c r="L4" i="69"/>
  <c r="L20" i="69"/>
  <c r="L16" i="69"/>
  <c r="L15" i="69"/>
  <c r="L27" i="69"/>
  <c r="L16" i="83"/>
  <c r="L13" i="83"/>
  <c r="L41" i="83"/>
  <c r="L32" i="83"/>
  <c r="L23" i="83"/>
  <c r="L19" i="83"/>
  <c r="L15" i="83"/>
  <c r="L36" i="83"/>
  <c r="L26" i="83"/>
  <c r="L35" i="83"/>
  <c r="L31" i="83"/>
  <c r="L22" i="83"/>
  <c r="L17" i="83"/>
  <c r="L12" i="83"/>
  <c r="L30" i="83"/>
  <c r="L21" i="83"/>
  <c r="L11" i="83"/>
  <c r="L39" i="83"/>
  <c r="L29" i="83"/>
  <c r="L40" i="83"/>
  <c r="L18" i="83"/>
  <c r="L6" i="83"/>
  <c r="L37" i="83"/>
  <c r="L10" i="83"/>
  <c r="L34" i="83"/>
  <c r="L42" i="83"/>
  <c r="L31" i="79"/>
  <c r="L44" i="79"/>
  <c r="L40" i="79"/>
  <c r="L39" i="79"/>
  <c r="L38" i="79"/>
  <c r="L27" i="79"/>
  <c r="L42" i="79"/>
  <c r="I48" i="110"/>
  <c r="H48" i="110"/>
  <c r="L14" i="86"/>
  <c r="L43" i="83"/>
  <c r="L20" i="78"/>
  <c r="L18" i="78"/>
  <c r="L24" i="91"/>
  <c r="L21" i="86"/>
  <c r="L31" i="86"/>
  <c r="L10" i="80"/>
  <c r="L25" i="65"/>
  <c r="L42" i="82"/>
  <c r="L44" i="82"/>
  <c r="L23" i="82"/>
  <c r="L18" i="74"/>
  <c r="L15" i="74"/>
  <c r="L20" i="74"/>
  <c r="L13" i="74"/>
  <c r="L24" i="74"/>
  <c r="L14" i="74"/>
  <c r="L12" i="74"/>
  <c r="L16" i="74"/>
  <c r="L9" i="74"/>
  <c r="L27" i="74"/>
  <c r="I48" i="71"/>
  <c r="H48" i="71"/>
  <c r="I48" i="85"/>
  <c r="H48" i="85"/>
  <c r="J4" i="85"/>
  <c r="A49" i="85" s="1"/>
  <c r="A48" i="85" s="1"/>
  <c r="B47" i="85" s="1"/>
  <c r="L36" i="81"/>
  <c r="L23" i="81"/>
  <c r="L26" i="81"/>
  <c r="L35" i="81"/>
  <c r="L21" i="81"/>
  <c r="L39" i="81"/>
  <c r="L37" i="81"/>
  <c r="L25" i="81"/>
  <c r="L33" i="81"/>
  <c r="L22" i="81"/>
  <c r="L20" i="81"/>
  <c r="L31" i="81"/>
  <c r="L27" i="81"/>
  <c r="H48" i="74"/>
  <c r="I48" i="74"/>
  <c r="J4" i="74"/>
  <c r="A49" i="74" s="1"/>
  <c r="A48" i="74" s="1"/>
  <c r="B47" i="74" s="1"/>
  <c r="L28" i="81"/>
  <c r="L19" i="74"/>
  <c r="J5" i="84"/>
  <c r="H48" i="84"/>
  <c r="L32" i="81"/>
  <c r="L20" i="75"/>
  <c r="L13" i="75"/>
  <c r="L43" i="75"/>
  <c r="L42" i="75"/>
  <c r="L19" i="75"/>
  <c r="L16" i="75"/>
  <c r="L22" i="74"/>
  <c r="J5" i="81"/>
  <c r="A49" i="81" s="1"/>
  <c r="A48" i="81" s="1"/>
  <c r="B47" i="81" s="1"/>
  <c r="H48" i="81"/>
  <c r="L26" i="78"/>
  <c r="L39" i="78"/>
  <c r="L38" i="78"/>
  <c r="L36" i="78"/>
  <c r="L41" i="78"/>
  <c r="L31" i="78"/>
  <c r="L21" i="78"/>
  <c r="L37" i="78"/>
  <c r="L23" i="78"/>
  <c r="L32" i="78"/>
  <c r="H48" i="78"/>
  <c r="L44" i="107"/>
  <c r="L39" i="107"/>
  <c r="L30" i="107"/>
  <c r="L9" i="107"/>
  <c r="L27" i="107"/>
  <c r="L42" i="107"/>
  <c r="I48" i="78"/>
  <c r="H48" i="108"/>
  <c r="L38" i="107"/>
  <c r="I48" i="72"/>
  <c r="L16" i="107"/>
  <c r="L28" i="107"/>
  <c r="H48" i="77"/>
  <c r="L17" i="76"/>
  <c r="L22" i="76"/>
  <c r="L11" i="76"/>
  <c r="L20" i="76"/>
  <c r="L9" i="76"/>
  <c r="L26" i="76"/>
  <c r="L6" i="76"/>
  <c r="L24" i="76"/>
  <c r="L24" i="100"/>
  <c r="L29" i="100"/>
  <c r="L39" i="100"/>
  <c r="L16" i="100"/>
  <c r="L25" i="100"/>
  <c r="L31" i="100"/>
  <c r="L19" i="100"/>
  <c r="L35" i="100"/>
  <c r="L22" i="100"/>
  <c r="L11" i="100"/>
  <c r="L15" i="100"/>
  <c r="L26" i="100"/>
  <c r="L10" i="100"/>
  <c r="L34" i="73"/>
  <c r="L42" i="73"/>
  <c r="L44" i="73"/>
  <c r="L34" i="100"/>
  <c r="L42" i="85"/>
  <c r="L34" i="85"/>
  <c r="L22" i="85"/>
  <c r="L10" i="85"/>
  <c r="L43" i="85"/>
  <c r="L29" i="85"/>
  <c r="L33" i="85"/>
  <c r="I48" i="91"/>
  <c r="L12" i="77"/>
  <c r="L6" i="77"/>
  <c r="I48" i="68"/>
  <c r="L27" i="88"/>
  <c r="L7" i="77"/>
  <c r="L44" i="71"/>
  <c r="L29" i="71"/>
  <c r="L17" i="71"/>
  <c r="L20" i="71"/>
  <c r="L5" i="71"/>
  <c r="L31" i="71"/>
  <c r="L39" i="71"/>
  <c r="L30" i="71"/>
  <c r="L21" i="71"/>
  <c r="L16" i="71"/>
  <c r="L12" i="71"/>
  <c r="L7" i="71"/>
  <c r="L35" i="71"/>
  <c r="L43" i="71"/>
  <c r="L27" i="71"/>
  <c r="L23" i="71"/>
  <c r="L11" i="71"/>
  <c r="L36" i="71"/>
  <c r="L9" i="71"/>
  <c r="L41" i="71"/>
  <c r="L25" i="71"/>
  <c r="L37" i="71"/>
  <c r="L15" i="71"/>
  <c r="L22" i="71"/>
  <c r="L18" i="71"/>
  <c r="L13" i="71"/>
  <c r="L34" i="71"/>
  <c r="L32" i="71"/>
  <c r="L10" i="71"/>
  <c r="L6" i="71"/>
  <c r="L42" i="71"/>
  <c r="L28" i="71"/>
  <c r="L37" i="90"/>
  <c r="L29" i="90"/>
  <c r="L21" i="90"/>
  <c r="L16" i="90"/>
  <c r="L19" i="90"/>
  <c r="L44" i="90"/>
  <c r="L5" i="77"/>
  <c r="L29" i="65"/>
  <c r="L43" i="77"/>
  <c r="L24" i="77"/>
  <c r="L8" i="77"/>
  <c r="L4" i="77"/>
  <c r="L28" i="77"/>
  <c r="L16" i="77"/>
  <c r="L24" i="72"/>
  <c r="L14" i="72"/>
  <c r="L11" i="72"/>
  <c r="L43" i="72"/>
  <c r="L41" i="72"/>
  <c r="L23" i="72"/>
  <c r="L12" i="72"/>
  <c r="L10" i="72"/>
  <c r="L9" i="72"/>
  <c r="L13" i="72"/>
  <c r="H48" i="65"/>
  <c r="L22" i="88"/>
  <c r="L26" i="88"/>
  <c r="L19" i="88"/>
  <c r="L15" i="77"/>
  <c r="H48" i="75"/>
  <c r="L35" i="67"/>
  <c r="L6" i="65"/>
  <c r="L38" i="87"/>
  <c r="L42" i="87"/>
  <c r="L44" i="87"/>
  <c r="L41" i="87"/>
  <c r="L37" i="87"/>
  <c r="L20" i="87"/>
  <c r="L40" i="87"/>
  <c r="L43" i="87"/>
  <c r="L31" i="65"/>
  <c r="L12" i="65"/>
  <c r="L40" i="65"/>
  <c r="L23" i="65"/>
  <c r="L8" i="65"/>
  <c r="L41" i="65"/>
  <c r="L22" i="65"/>
  <c r="L27" i="65"/>
  <c r="L36" i="65"/>
  <c r="L18" i="65"/>
  <c r="L5" i="65"/>
  <c r="L38" i="65"/>
  <c r="L28" i="65"/>
  <c r="L33" i="65"/>
  <c r="L42" i="65"/>
  <c r="L44" i="65"/>
  <c r="L34" i="65"/>
  <c r="L16" i="65"/>
  <c r="L10" i="65"/>
  <c r="L17" i="65"/>
  <c r="L7" i="65"/>
  <c r="L35" i="65"/>
  <c r="L24" i="65"/>
  <c r="L30" i="65"/>
  <c r="L21" i="65"/>
  <c r="H48" i="69"/>
  <c r="I48" i="69"/>
  <c r="I48" i="103"/>
  <c r="H48" i="103"/>
  <c r="L43" i="65"/>
  <c r="J5" i="69"/>
  <c r="J5" i="103"/>
  <c r="A49" i="103" s="1"/>
  <c r="A48" i="103" s="1"/>
  <c r="B47" i="103" s="1"/>
  <c r="L28" i="70"/>
  <c r="L11" i="70"/>
  <c r="L14" i="70"/>
  <c r="L12" i="70"/>
  <c r="L13" i="70"/>
  <c r="L6" i="70"/>
  <c r="L13" i="65"/>
  <c r="L33" i="77"/>
  <c r="L4" i="72"/>
  <c r="L22" i="72"/>
  <c r="L40" i="81"/>
  <c r="J4" i="73"/>
  <c r="A49" i="73" s="1"/>
  <c r="A48" i="73" s="1"/>
  <c r="B47" i="73" s="1"/>
  <c r="I48" i="73"/>
  <c r="N2" i="68"/>
  <c r="J5" i="67"/>
  <c r="I48" i="67"/>
  <c r="I48" i="65"/>
  <c r="L14" i="76"/>
  <c r="L15" i="76"/>
  <c r="L25" i="76"/>
  <c r="L19" i="76"/>
  <c r="H48" i="72"/>
  <c r="L44" i="67"/>
  <c r="L26" i="67"/>
  <c r="L18" i="67"/>
  <c r="L14" i="67"/>
  <c r="L10" i="67"/>
  <c r="L23" i="67"/>
  <c r="L13" i="67"/>
  <c r="L9" i="67"/>
  <c r="L42" i="67"/>
  <c r="L17" i="67"/>
  <c r="L7" i="67"/>
  <c r="L11" i="67"/>
  <c r="L6" i="67"/>
  <c r="L43" i="67"/>
  <c r="L20" i="67"/>
  <c r="L40" i="67"/>
  <c r="N2" i="104"/>
  <c r="L27" i="78"/>
  <c r="L42" i="76"/>
  <c r="L12" i="67"/>
  <c r="J6" i="70"/>
  <c r="A49" i="70" s="1"/>
  <c r="A48" i="70" s="1"/>
  <c r="B47" i="70" s="1"/>
  <c r="I48" i="70"/>
  <c r="L23" i="74"/>
  <c r="L21" i="74"/>
  <c r="L25" i="74"/>
  <c r="L11" i="74"/>
  <c r="L28" i="74"/>
  <c r="L23" i="104"/>
  <c r="H48" i="107"/>
  <c r="L42" i="109"/>
  <c r="L14" i="109"/>
  <c r="I48" i="102"/>
  <c r="H48" i="102"/>
  <c r="G5" i="100" s="1"/>
  <c r="L43" i="68"/>
  <c r="L42" i="68"/>
  <c r="L44" i="88"/>
  <c r="L28" i="88"/>
  <c r="L17" i="88"/>
  <c r="L25" i="88"/>
  <c r="L43" i="88"/>
  <c r="L37" i="108"/>
  <c r="L29" i="108"/>
  <c r="L21" i="108"/>
  <c r="L31" i="108"/>
  <c r="L43" i="108"/>
  <c r="L15" i="108"/>
  <c r="L12" i="108"/>
  <c r="J4" i="108"/>
  <c r="A49" i="108" s="1"/>
  <c r="A48" i="108" s="1"/>
  <c r="B47" i="108" s="1"/>
  <c r="L42" i="101"/>
  <c r="L27" i="101"/>
  <c r="L39" i="101"/>
  <c r="H48" i="70"/>
  <c r="L10" i="104"/>
  <c r="L7" i="104"/>
  <c r="L22" i="104"/>
  <c r="L42" i="104"/>
  <c r="L4" i="104"/>
  <c r="L5" i="104"/>
  <c r="L11" i="104"/>
  <c r="L15" i="104"/>
  <c r="L25" i="104"/>
  <c r="L13" i="104"/>
  <c r="L27" i="104"/>
  <c r="L14" i="100"/>
  <c r="L18" i="100"/>
  <c r="L44" i="102"/>
  <c r="L36" i="102"/>
  <c r="L28" i="102"/>
  <c r="L20" i="102"/>
  <c r="L43" i="102"/>
  <c r="L13" i="102"/>
  <c r="L21" i="102"/>
  <c r="L41" i="102"/>
  <c r="L31" i="102"/>
  <c r="L9" i="102"/>
  <c r="L18" i="102"/>
  <c r="L44" i="100"/>
  <c r="L36" i="100"/>
  <c r="L28" i="100"/>
  <c r="L20" i="100"/>
  <c r="L17" i="100"/>
  <c r="L27" i="100"/>
  <c r="L12" i="100"/>
  <c r="L33" i="100"/>
  <c r="L41" i="100"/>
  <c r="L30" i="100"/>
  <c r="L21" i="100"/>
  <c r="L13" i="100"/>
  <c r="L9" i="100"/>
  <c r="L32" i="100"/>
  <c r="L23" i="100"/>
  <c r="L42" i="100"/>
  <c r="H48" i="104"/>
  <c r="L10" i="70"/>
  <c r="L7" i="70"/>
  <c r="L42" i="70"/>
  <c r="L4" i="70"/>
  <c r="L44" i="70"/>
  <c r="I48" i="104"/>
  <c r="A49" i="84" l="1"/>
  <c r="A48" i="84" s="1"/>
  <c r="B47" i="84" s="1"/>
  <c r="A49" i="69"/>
  <c r="A48" i="69" s="1"/>
  <c r="B47" i="69" s="1"/>
  <c r="A49" i="76"/>
  <c r="A48" i="76" s="1"/>
  <c r="B47" i="76" s="1"/>
  <c r="A49" i="106"/>
  <c r="A48" i="106" s="1"/>
  <c r="B47" i="106" s="1"/>
  <c r="A49" i="96"/>
  <c r="A48" i="96" s="1"/>
  <c r="B47" i="96" s="1"/>
  <c r="A48" i="99"/>
  <c r="B47" i="99" s="1"/>
  <c r="A48" i="75"/>
  <c r="B47" i="75" s="1"/>
  <c r="A49" i="67"/>
  <c r="A48" i="67" s="1"/>
  <c r="B47" i="67" s="1"/>
  <c r="K55" i="97"/>
  <c r="F57" i="97"/>
  <c r="K16" i="97"/>
  <c r="M16" i="97" s="1"/>
  <c r="K17" i="97"/>
  <c r="M17" i="97" s="1"/>
  <c r="K18" i="97"/>
  <c r="M18" i="97" s="1"/>
  <c r="K19" i="97"/>
  <c r="M19" i="97" s="1"/>
  <c r="K20" i="97"/>
  <c r="M20" i="97" s="1"/>
  <c r="K21" i="97"/>
  <c r="M21" i="97" s="1"/>
  <c r="K22" i="97"/>
  <c r="M22" i="97" s="1"/>
  <c r="K4" i="97"/>
  <c r="K5" i="97"/>
  <c r="M5" i="97" s="1"/>
  <c r="K11" i="97"/>
  <c r="M11" i="97" s="1"/>
  <c r="K10" i="97"/>
  <c r="M10" i="97" s="1"/>
  <c r="K9" i="97"/>
  <c r="M9" i="97" s="1"/>
  <c r="K6" i="97"/>
  <c r="M6" i="97" s="1"/>
  <c r="K8" i="97"/>
  <c r="M8" i="97" s="1"/>
  <c r="K7" i="97"/>
  <c r="M7" i="97" s="1"/>
  <c r="K15" i="97"/>
  <c r="M15" i="97" s="1"/>
  <c r="K14" i="97"/>
  <c r="M14" i="97" s="1"/>
  <c r="K13" i="97"/>
  <c r="M13" i="97" s="1"/>
  <c r="K12" i="97"/>
  <c r="M12" i="97" s="1"/>
  <c r="L17" i="94"/>
  <c r="L40" i="76"/>
  <c r="L31" i="77"/>
  <c r="L5" i="87"/>
  <c r="L40" i="91"/>
  <c r="L20" i="104"/>
  <c r="L8" i="81"/>
  <c r="L5" i="100"/>
  <c r="L5" i="95"/>
  <c r="L6" i="109"/>
  <c r="L9" i="84"/>
  <c r="L9" i="110"/>
  <c r="L4" i="76"/>
  <c r="L11" i="109"/>
  <c r="L8" i="109"/>
  <c r="L9" i="109"/>
  <c r="L8" i="99"/>
  <c r="L4" i="111"/>
  <c r="L9" i="68"/>
  <c r="L6" i="68"/>
  <c r="L6" i="73"/>
  <c r="L5" i="68"/>
  <c r="L8" i="68"/>
  <c r="L22" i="73"/>
  <c r="L10" i="109"/>
  <c r="L4" i="81"/>
  <c r="L5" i="109"/>
  <c r="J48" i="80"/>
  <c r="J1" i="80" s="1"/>
  <c r="K58" i="97"/>
  <c r="K57" i="97"/>
  <c r="K59" i="97"/>
  <c r="J48" i="104"/>
  <c r="J1" i="104" s="1"/>
  <c r="G7" i="100"/>
  <c r="J7" i="100" s="1"/>
  <c r="J48" i="103"/>
  <c r="J1" i="103" s="1"/>
  <c r="G6" i="100"/>
  <c r="J6" i="100" s="1"/>
  <c r="AA12" i="71"/>
  <c r="J48" i="107"/>
  <c r="J1" i="107" s="1"/>
  <c r="G7" i="87"/>
  <c r="J7" i="87" s="1"/>
  <c r="J48" i="74"/>
  <c r="J1" i="74" s="1"/>
  <c r="G12" i="87"/>
  <c r="J12" i="87" s="1"/>
  <c r="L15" i="87"/>
  <c r="L14" i="78"/>
  <c r="L7" i="90"/>
  <c r="L6" i="90"/>
  <c r="J48" i="81"/>
  <c r="J1" i="81" s="1"/>
  <c r="G19" i="87"/>
  <c r="J19" i="87" s="1"/>
  <c r="L7" i="68"/>
  <c r="J48" i="90"/>
  <c r="J1" i="90" s="1"/>
  <c r="G28" i="87"/>
  <c r="J28" i="87" s="1"/>
  <c r="L10" i="73"/>
  <c r="L8" i="110"/>
  <c r="J48" i="76"/>
  <c r="J1" i="76" s="1"/>
  <c r="G14" i="87"/>
  <c r="J14" i="87" s="1"/>
  <c r="J48" i="91"/>
  <c r="J1" i="91" s="1"/>
  <c r="G29" i="87"/>
  <c r="J29" i="87" s="1"/>
  <c r="L24" i="87"/>
  <c r="L11" i="73"/>
  <c r="L16" i="95"/>
  <c r="B49" i="99"/>
  <c r="I9" i="38"/>
  <c r="K9" i="38" s="1"/>
  <c r="J48" i="69"/>
  <c r="K41" i="105" s="1"/>
  <c r="AA12" i="69"/>
  <c r="L19" i="87"/>
  <c r="L14" i="73"/>
  <c r="L7" i="100"/>
  <c r="L14" i="87"/>
  <c r="L16" i="73"/>
  <c r="J48" i="110"/>
  <c r="J1" i="110" s="1"/>
  <c r="G25" i="87"/>
  <c r="J25" i="87" s="1"/>
  <c r="J48" i="83"/>
  <c r="J1" i="83" s="1"/>
  <c r="G21" i="87"/>
  <c r="J21" i="87" s="1"/>
  <c r="L28" i="95"/>
  <c r="J48" i="94"/>
  <c r="J1" i="94" s="1"/>
  <c r="G32" i="87"/>
  <c r="J32" i="87" s="1"/>
  <c r="J48" i="93"/>
  <c r="J1" i="93" s="1"/>
  <c r="G31" i="87"/>
  <c r="J31" i="87" s="1"/>
  <c r="J48" i="68"/>
  <c r="J1" i="68" s="1"/>
  <c r="G6" i="87"/>
  <c r="J6" i="87" s="1"/>
  <c r="J48" i="95"/>
  <c r="J1" i="95" s="1"/>
  <c r="G33" i="87"/>
  <c r="J33" i="87" s="1"/>
  <c r="J48" i="65"/>
  <c r="J1" i="65" s="1"/>
  <c r="G4" i="87"/>
  <c r="L7" i="73"/>
  <c r="J48" i="78"/>
  <c r="J1" i="78" s="1"/>
  <c r="G16" i="87"/>
  <c r="J16" i="87" s="1"/>
  <c r="J48" i="109"/>
  <c r="B49" i="109" s="1"/>
  <c r="G9" i="87"/>
  <c r="J9" i="87" s="1"/>
  <c r="J48" i="75"/>
  <c r="J1" i="75" s="1"/>
  <c r="G13" i="87"/>
  <c r="J13" i="87" s="1"/>
  <c r="L35" i="87"/>
  <c r="L26" i="87"/>
  <c r="J48" i="79"/>
  <c r="J1" i="79" s="1"/>
  <c r="G17" i="87"/>
  <c r="J17" i="87" s="1"/>
  <c r="L4" i="87"/>
  <c r="J48" i="70"/>
  <c r="AA12" i="70"/>
  <c r="J48" i="77"/>
  <c r="J1" i="77" s="1"/>
  <c r="G15" i="87"/>
  <c r="J15" i="87" s="1"/>
  <c r="L4" i="80"/>
  <c r="L33" i="87"/>
  <c r="L21" i="87"/>
  <c r="P8" i="92"/>
  <c r="L9" i="78"/>
  <c r="L6" i="81"/>
  <c r="L25" i="87"/>
  <c r="L7" i="87"/>
  <c r="J48" i="111"/>
  <c r="J1" i="111" s="1"/>
  <c r="G26" i="87"/>
  <c r="J26" i="87" s="1"/>
  <c r="L9" i="73"/>
  <c r="L5" i="90"/>
  <c r="L6" i="100"/>
  <c r="L27" i="87"/>
  <c r="L30" i="87"/>
  <c r="J48" i="67"/>
  <c r="J1" i="67" s="1"/>
  <c r="G5" i="87"/>
  <c r="J5" i="87" s="1"/>
  <c r="L19" i="95"/>
  <c r="L17" i="87"/>
  <c r="J48" i="82"/>
  <c r="J1" i="82" s="1"/>
  <c r="G20" i="87"/>
  <c r="J20" i="87" s="1"/>
  <c r="J48" i="106"/>
  <c r="L10" i="87"/>
  <c r="J48" i="84"/>
  <c r="J1" i="84" s="1"/>
  <c r="G22" i="87"/>
  <c r="J22" i="87" s="1"/>
  <c r="L23" i="79"/>
  <c r="J48" i="96"/>
  <c r="J1" i="96" s="1"/>
  <c r="G35" i="87"/>
  <c r="J35" i="87" s="1"/>
  <c r="J48" i="89"/>
  <c r="J1" i="89" s="1"/>
  <c r="G27" i="87"/>
  <c r="L5" i="94"/>
  <c r="L28" i="87"/>
  <c r="P13" i="92"/>
  <c r="L22" i="87"/>
  <c r="J48" i="72"/>
  <c r="J1" i="72" s="1"/>
  <c r="G10" i="87"/>
  <c r="J10" i="87" s="1"/>
  <c r="J48" i="73"/>
  <c r="J1" i="73" s="1"/>
  <c r="G11" i="87"/>
  <c r="J11" i="87" s="1"/>
  <c r="L4" i="68"/>
  <c r="J48" i="108"/>
  <c r="J1" i="108" s="1"/>
  <c r="G8" i="87"/>
  <c r="J8" i="87" s="1"/>
  <c r="L9" i="87"/>
  <c r="L7" i="110"/>
  <c r="L11" i="84"/>
  <c r="J48" i="85"/>
  <c r="J1" i="85" s="1"/>
  <c r="G23" i="87"/>
  <c r="J23" i="87" s="1"/>
  <c r="J48" i="92"/>
  <c r="J1" i="92" s="1"/>
  <c r="G30" i="87"/>
  <c r="J30" i="87" s="1"/>
  <c r="L16" i="87"/>
  <c r="L34" i="87"/>
  <c r="J48" i="102"/>
  <c r="J1" i="102" s="1"/>
  <c r="J5" i="100"/>
  <c r="J48" i="86"/>
  <c r="J1" i="86" s="1"/>
  <c r="L32" i="87"/>
  <c r="L7" i="109"/>
  <c r="L12" i="110"/>
  <c r="AA12" i="88"/>
  <c r="AA12" i="101"/>
  <c r="W13" i="92"/>
  <c r="P6" i="92"/>
  <c r="L27" i="73"/>
  <c r="L27" i="75"/>
  <c r="L37" i="75"/>
  <c r="W8" i="92"/>
  <c r="Z8" i="92"/>
  <c r="Y8" i="92"/>
  <c r="L10" i="99"/>
  <c r="L27" i="99"/>
  <c r="L41" i="99"/>
  <c r="L34" i="99"/>
  <c r="L33" i="99"/>
  <c r="L18" i="99"/>
  <c r="L7" i="99"/>
  <c r="L12" i="99"/>
  <c r="O7" i="92"/>
  <c r="X6" i="92"/>
  <c r="L23" i="109"/>
  <c r="V6" i="92"/>
  <c r="L12" i="82"/>
  <c r="L19" i="72"/>
  <c r="L34" i="102"/>
  <c r="L23" i="102"/>
  <c r="L7" i="102"/>
  <c r="L6" i="102"/>
  <c r="L10" i="102"/>
  <c r="L4" i="102"/>
  <c r="L12" i="102"/>
  <c r="L39" i="102"/>
  <c r="L37" i="102"/>
  <c r="L25" i="102"/>
  <c r="L22" i="102"/>
  <c r="L14" i="102"/>
  <c r="L26" i="102"/>
  <c r="L32" i="102"/>
  <c r="L30" i="101"/>
  <c r="L20" i="88"/>
  <c r="L38" i="109"/>
  <c r="L39" i="72"/>
  <c r="L18" i="73"/>
  <c r="L37" i="73"/>
  <c r="L39" i="75"/>
  <c r="L29" i="75"/>
  <c r="L18" i="79"/>
  <c r="L20" i="106"/>
  <c r="L17" i="106"/>
  <c r="L8" i="106"/>
  <c r="L4" i="106"/>
  <c r="L10" i="106"/>
  <c r="L7" i="106"/>
  <c r="L11" i="106"/>
  <c r="L5" i="106"/>
  <c r="L14" i="106"/>
  <c r="L32" i="77"/>
  <c r="L40" i="108"/>
  <c r="L28" i="72"/>
  <c r="L29" i="99"/>
  <c r="X13" i="92"/>
  <c r="S8" i="92"/>
  <c r="L34" i="109"/>
  <c r="L37" i="95"/>
  <c r="L29" i="81"/>
  <c r="L10" i="84"/>
  <c r="L37" i="107"/>
  <c r="L22" i="107"/>
  <c r="L35" i="107"/>
  <c r="L34" i="107"/>
  <c r="L6" i="107"/>
  <c r="L5" i="107"/>
  <c r="L7" i="75"/>
  <c r="L5" i="75"/>
  <c r="L25" i="82"/>
  <c r="L29" i="79"/>
  <c r="L5" i="79"/>
  <c r="L24" i="79"/>
  <c r="L10" i="79"/>
  <c r="L37" i="79"/>
  <c r="L9" i="79"/>
  <c r="L8" i="79"/>
  <c r="L35" i="79"/>
  <c r="L32" i="80"/>
  <c r="L22" i="80"/>
  <c r="L35" i="80"/>
  <c r="L34" i="80"/>
  <c r="L16" i="80"/>
  <c r="L12" i="80"/>
  <c r="L7" i="80"/>
  <c r="L34" i="108"/>
  <c r="L22" i="99"/>
  <c r="P7" i="92"/>
  <c r="O5" i="92"/>
  <c r="L30" i="109"/>
  <c r="L21" i="95"/>
  <c r="L15" i="95"/>
  <c r="L13" i="107"/>
  <c r="L14" i="75"/>
  <c r="L13" i="82"/>
  <c r="L28" i="79"/>
  <c r="L30" i="80"/>
  <c r="L37" i="72"/>
  <c r="T7" i="93"/>
  <c r="S7" i="93"/>
  <c r="R7" i="93"/>
  <c r="Z5" i="93"/>
  <c r="Q7" i="93"/>
  <c r="Y5" i="93"/>
  <c r="Y13" i="93"/>
  <c r="S8" i="93"/>
  <c r="Y6" i="93"/>
  <c r="Q5" i="93"/>
  <c r="U13" i="93"/>
  <c r="P7" i="93"/>
  <c r="U5" i="93"/>
  <c r="Z6" i="93"/>
  <c r="O7" i="93"/>
  <c r="T5" i="93"/>
  <c r="S5" i="93"/>
  <c r="Z8" i="93"/>
  <c r="R5" i="93"/>
  <c r="P5" i="93"/>
  <c r="Y8" i="93"/>
  <c r="W8" i="93"/>
  <c r="X8" i="93"/>
  <c r="O5" i="93"/>
  <c r="U8" i="93"/>
  <c r="W6" i="93"/>
  <c r="O6" i="93"/>
  <c r="T8" i="93"/>
  <c r="V6" i="93"/>
  <c r="Z13" i="93"/>
  <c r="R8" i="93"/>
  <c r="U6" i="93"/>
  <c r="P8" i="93"/>
  <c r="AA13" i="93"/>
  <c r="Q8" i="93"/>
  <c r="T6" i="93"/>
  <c r="S6" i="93"/>
  <c r="X13" i="93"/>
  <c r="O8" i="93"/>
  <c r="R6" i="93"/>
  <c r="P6" i="93"/>
  <c r="W13" i="93"/>
  <c r="Q6" i="93"/>
  <c r="V13" i="93"/>
  <c r="T13" i="93"/>
  <c r="Q13" i="93"/>
  <c r="Z7" i="93"/>
  <c r="P13" i="93"/>
  <c r="Y7" i="93"/>
  <c r="X6" i="93"/>
  <c r="O13" i="93"/>
  <c r="X7" i="93"/>
  <c r="W7" i="93"/>
  <c r="U7" i="93"/>
  <c r="V7" i="93"/>
  <c r="V8" i="93"/>
  <c r="S13" i="93"/>
  <c r="X5" i="93"/>
  <c r="R13" i="93"/>
  <c r="W5" i="93"/>
  <c r="V5" i="93"/>
  <c r="L30" i="99"/>
  <c r="Y13" i="92"/>
  <c r="Z6" i="92"/>
  <c r="L29" i="95"/>
  <c r="L4" i="95"/>
  <c r="L23" i="84"/>
  <c r="L16" i="70"/>
  <c r="L32" i="72"/>
  <c r="L41" i="73"/>
  <c r="L10" i="75"/>
  <c r="L33" i="109"/>
  <c r="L38" i="73"/>
  <c r="L26" i="107"/>
  <c r="L19" i="82"/>
  <c r="L7" i="79"/>
  <c r="L17" i="80"/>
  <c r="L40" i="77"/>
  <c r="L26" i="108"/>
  <c r="L30" i="72"/>
  <c r="L18" i="95"/>
  <c r="L31" i="99"/>
  <c r="AA13" i="92"/>
  <c r="X8" i="92"/>
  <c r="L13" i="95"/>
  <c r="L38" i="95"/>
  <c r="U6" i="92"/>
  <c r="L36" i="84"/>
  <c r="L5" i="84"/>
  <c r="L4" i="99"/>
  <c r="L20" i="82"/>
  <c r="L20" i="109"/>
  <c r="L20" i="73"/>
  <c r="L10" i="107"/>
  <c r="L17" i="72"/>
  <c r="L9" i="99"/>
  <c r="L40" i="72"/>
  <c r="L31" i="75"/>
  <c r="L41" i="75"/>
  <c r="L5" i="102"/>
  <c r="L23" i="88"/>
  <c r="L41" i="67"/>
  <c r="L33" i="67"/>
  <c r="L19" i="107"/>
  <c r="L26" i="73"/>
  <c r="L18" i="107"/>
  <c r="L5" i="82"/>
  <c r="L30" i="78"/>
  <c r="L40" i="78"/>
  <c r="L29" i="78"/>
  <c r="L34" i="78"/>
  <c r="L21" i="79"/>
  <c r="L23" i="94"/>
  <c r="L37" i="94"/>
  <c r="L21" i="94"/>
  <c r="L33" i="80"/>
  <c r="L39" i="108"/>
  <c r="L34" i="77"/>
  <c r="L22" i="94"/>
  <c r="L38" i="108"/>
  <c r="L18" i="72"/>
  <c r="L23" i="99"/>
  <c r="Z5" i="92"/>
  <c r="L32" i="109"/>
  <c r="L15" i="109"/>
  <c r="L22" i="95"/>
  <c r="L7" i="96"/>
  <c r="L28" i="110"/>
  <c r="L32" i="110"/>
  <c r="L22" i="84"/>
  <c r="L15" i="84"/>
  <c r="Y8" i="83"/>
  <c r="Q7" i="83"/>
  <c r="Z5" i="83"/>
  <c r="X8" i="83"/>
  <c r="P7" i="83"/>
  <c r="Y5" i="83"/>
  <c r="P13" i="83"/>
  <c r="T6" i="83"/>
  <c r="Z7" i="83"/>
  <c r="R6" i="83"/>
  <c r="W13" i="83"/>
  <c r="O6" i="83"/>
  <c r="V13" i="83"/>
  <c r="W8" i="83"/>
  <c r="Q5" i="83"/>
  <c r="V8" i="83"/>
  <c r="P5" i="83"/>
  <c r="X13" i="83"/>
  <c r="T7" i="83"/>
  <c r="T5" i="83"/>
  <c r="U13" i="83"/>
  <c r="S7" i="83"/>
  <c r="S5" i="83"/>
  <c r="T8" i="83"/>
  <c r="W6" i="83"/>
  <c r="Q8" i="83"/>
  <c r="S6" i="83"/>
  <c r="P8" i="83"/>
  <c r="S13" i="83"/>
  <c r="Q6" i="83"/>
  <c r="R13" i="83"/>
  <c r="Z8" i="83"/>
  <c r="P6" i="83"/>
  <c r="Q13" i="83"/>
  <c r="U8" i="83"/>
  <c r="V5" i="83"/>
  <c r="X7" i="83"/>
  <c r="R5" i="83"/>
  <c r="W7" i="83"/>
  <c r="O5" i="83"/>
  <c r="U7" i="83"/>
  <c r="R7" i="83"/>
  <c r="Z6" i="83"/>
  <c r="X6" i="83"/>
  <c r="X5" i="83"/>
  <c r="W5" i="83"/>
  <c r="S8" i="83"/>
  <c r="Z13" i="83"/>
  <c r="O7" i="83"/>
  <c r="Y13" i="83"/>
  <c r="T13" i="83"/>
  <c r="U6" i="83"/>
  <c r="O13" i="83"/>
  <c r="Y6" i="83"/>
  <c r="V6" i="83"/>
  <c r="U5" i="83"/>
  <c r="O8" i="83"/>
  <c r="V7" i="83"/>
  <c r="R8" i="83"/>
  <c r="Y7" i="83"/>
  <c r="AA13" i="83"/>
  <c r="L38" i="75"/>
  <c r="L23" i="75"/>
  <c r="L12" i="75"/>
  <c r="L21" i="75"/>
  <c r="L32" i="75"/>
  <c r="L33" i="75"/>
  <c r="L28" i="75"/>
  <c r="L18" i="75"/>
  <c r="L35" i="101"/>
  <c r="L33" i="101"/>
  <c r="L20" i="101"/>
  <c r="L31" i="101"/>
  <c r="L19" i="101"/>
  <c r="L25" i="101"/>
  <c r="L29" i="101"/>
  <c r="L28" i="101"/>
  <c r="L32" i="101"/>
  <c r="L23" i="101"/>
  <c r="L38" i="101"/>
  <c r="L34" i="101"/>
  <c r="L26" i="101"/>
  <c r="L37" i="101"/>
  <c r="L41" i="101"/>
  <c r="L21" i="101"/>
  <c r="L40" i="101"/>
  <c r="L34" i="75"/>
  <c r="U8" i="92"/>
  <c r="L29" i="73"/>
  <c r="L38" i="72"/>
  <c r="L40" i="107"/>
  <c r="L40" i="82"/>
  <c r="L32" i="79"/>
  <c r="L41" i="80"/>
  <c r="L33" i="91"/>
  <c r="L32" i="91"/>
  <c r="L21" i="91"/>
  <c r="L19" i="91"/>
  <c r="L28" i="91"/>
  <c r="L27" i="91"/>
  <c r="L37" i="91"/>
  <c r="L26" i="91"/>
  <c r="L25" i="91"/>
  <c r="L34" i="91"/>
  <c r="L31" i="91"/>
  <c r="L17" i="91"/>
  <c r="L9" i="80"/>
  <c r="L31" i="72"/>
  <c r="L39" i="99"/>
  <c r="S5" i="92"/>
  <c r="V7" i="92"/>
  <c r="L28" i="109"/>
  <c r="L30" i="95"/>
  <c r="L28" i="84"/>
  <c r="L26" i="82"/>
  <c r="L8" i="75"/>
  <c r="L23" i="80"/>
  <c r="L36" i="101"/>
  <c r="L15" i="70"/>
  <c r="L19" i="106"/>
  <c r="L22" i="108"/>
  <c r="L29" i="72"/>
  <c r="R7" i="92"/>
  <c r="S13" i="92"/>
  <c r="L27" i="109"/>
  <c r="L41" i="109"/>
  <c r="L23" i="95"/>
  <c r="R6" i="92"/>
  <c r="L17" i="84"/>
  <c r="L38" i="84"/>
  <c r="L6" i="82"/>
  <c r="L40" i="109"/>
  <c r="Q5" i="92"/>
  <c r="L19" i="99"/>
  <c r="L15" i="102"/>
  <c r="L17" i="73"/>
  <c r="L21" i="109"/>
  <c r="L26" i="70"/>
  <c r="L38" i="102"/>
  <c r="L29" i="109"/>
  <c r="L38" i="67"/>
  <c r="L21" i="70"/>
  <c r="L36" i="77"/>
  <c r="L13" i="85"/>
  <c r="L21" i="73"/>
  <c r="L14" i="107"/>
  <c r="L11" i="75"/>
  <c r="L30" i="81"/>
  <c r="L28" i="82"/>
  <c r="L15" i="79"/>
  <c r="L5" i="69"/>
  <c r="L40" i="69"/>
  <c r="L36" i="86"/>
  <c r="L11" i="86"/>
  <c r="L26" i="86"/>
  <c r="L29" i="86"/>
  <c r="L17" i="86"/>
  <c r="L40" i="86"/>
  <c r="L6" i="86"/>
  <c r="L15" i="86"/>
  <c r="L39" i="86"/>
  <c r="L25" i="86"/>
  <c r="L4" i="86"/>
  <c r="L23" i="86"/>
  <c r="L8" i="86"/>
  <c r="L35" i="86"/>
  <c r="L22" i="86"/>
  <c r="L5" i="86"/>
  <c r="L30" i="86"/>
  <c r="L10" i="86"/>
  <c r="L19" i="86"/>
  <c r="L33" i="86"/>
  <c r="L18" i="91"/>
  <c r="L31" i="80"/>
  <c r="L15" i="80"/>
  <c r="L35" i="77"/>
  <c r="L15" i="106"/>
  <c r="L17" i="108"/>
  <c r="L11" i="99"/>
  <c r="U13" i="92"/>
  <c r="L22" i="109"/>
  <c r="L31" i="95"/>
  <c r="L4" i="96"/>
  <c r="L18" i="110"/>
  <c r="L21" i="110"/>
  <c r="L25" i="84"/>
  <c r="L17" i="101"/>
  <c r="L37" i="77"/>
  <c r="L9" i="85"/>
  <c r="L23" i="107"/>
  <c r="L24" i="75"/>
  <c r="L24" i="101"/>
  <c r="L37" i="109"/>
  <c r="L39" i="67"/>
  <c r="L31" i="87"/>
  <c r="L25" i="72"/>
  <c r="L39" i="73"/>
  <c r="L24" i="107"/>
  <c r="L33" i="107"/>
  <c r="L36" i="75"/>
  <c r="L41" i="79"/>
  <c r="L15" i="91"/>
  <c r="L38" i="80"/>
  <c r="L38" i="77"/>
  <c r="L16" i="106"/>
  <c r="L30" i="108"/>
  <c r="L32" i="108"/>
  <c r="L35" i="72"/>
  <c r="L14" i="99"/>
  <c r="P5" i="92"/>
  <c r="W7" i="92"/>
  <c r="L24" i="109"/>
  <c r="L40" i="95"/>
  <c r="L23" i="96"/>
  <c r="L26" i="75"/>
  <c r="L12" i="95"/>
  <c r="L13" i="110"/>
  <c r="L29" i="110"/>
  <c r="L39" i="84"/>
  <c r="L6" i="84"/>
  <c r="L41" i="82"/>
  <c r="L16" i="82"/>
  <c r="L9" i="82"/>
  <c r="L4" i="82"/>
  <c r="L15" i="82"/>
  <c r="L38" i="82"/>
  <c r="L22" i="82"/>
  <c r="L35" i="82"/>
  <c r="L34" i="82"/>
  <c r="L8" i="82"/>
  <c r="L18" i="82"/>
  <c r="L31" i="82"/>
  <c r="L30" i="82"/>
  <c r="L24" i="73"/>
  <c r="L4" i="79"/>
  <c r="L35" i="108"/>
  <c r="L32" i="73"/>
  <c r="L29" i="102"/>
  <c r="L25" i="73"/>
  <c r="L7" i="107"/>
  <c r="L10" i="82"/>
  <c r="L19" i="80"/>
  <c r="L24" i="102"/>
  <c r="L22" i="101"/>
  <c r="L8" i="67"/>
  <c r="L25" i="85"/>
  <c r="L36" i="107"/>
  <c r="L11" i="107"/>
  <c r="L25" i="75"/>
  <c r="L26" i="79"/>
  <c r="L22" i="91"/>
  <c r="L8" i="80"/>
  <c r="L13" i="106"/>
  <c r="L24" i="99"/>
  <c r="T5" i="92"/>
  <c r="T13" i="92"/>
  <c r="L25" i="109"/>
  <c r="Y6" i="92"/>
  <c r="L31" i="96"/>
  <c r="L6" i="110"/>
  <c r="L37" i="110"/>
  <c r="L26" i="84"/>
  <c r="L41" i="94"/>
  <c r="R8" i="92"/>
  <c r="L36" i="82"/>
  <c r="Q7" i="92"/>
  <c r="L11" i="102"/>
  <c r="L20" i="70"/>
  <c r="L15" i="107"/>
  <c r="L17" i="75"/>
  <c r="L22" i="70"/>
  <c r="L33" i="102"/>
  <c r="L18" i="109"/>
  <c r="L22" i="67"/>
  <c r="L18" i="87"/>
  <c r="L6" i="87"/>
  <c r="L12" i="87"/>
  <c r="L23" i="87"/>
  <c r="L13" i="87"/>
  <c r="L15" i="72"/>
  <c r="L14" i="71"/>
  <c r="L4" i="71"/>
  <c r="L26" i="71"/>
  <c r="L40" i="71"/>
  <c r="L38" i="71"/>
  <c r="L8" i="71"/>
  <c r="L33" i="71"/>
  <c r="L28" i="73"/>
  <c r="L23" i="73"/>
  <c r="L5" i="73"/>
  <c r="L4" i="73"/>
  <c r="L12" i="73"/>
  <c r="L35" i="73"/>
  <c r="L33" i="73"/>
  <c r="L13" i="73"/>
  <c r="L12" i="107"/>
  <c r="L25" i="107"/>
  <c r="L35" i="78"/>
  <c r="L35" i="75"/>
  <c r="L15" i="75"/>
  <c r="L24" i="82"/>
  <c r="L36" i="79"/>
  <c r="L14" i="69"/>
  <c r="L8" i="69"/>
  <c r="L30" i="91"/>
  <c r="L5" i="80"/>
  <c r="L11" i="80"/>
  <c r="L5" i="89"/>
  <c r="L20" i="89"/>
  <c r="L13" i="89"/>
  <c r="L36" i="89"/>
  <c r="L40" i="89"/>
  <c r="L27" i="89"/>
  <c r="L25" i="89"/>
  <c r="L37" i="89"/>
  <c r="L17" i="89"/>
  <c r="L14" i="89"/>
  <c r="L6" i="89"/>
  <c r="L29" i="89"/>
  <c r="L24" i="89"/>
  <c r="L23" i="89"/>
  <c r="L9" i="89"/>
  <c r="L33" i="89"/>
  <c r="L34" i="89"/>
  <c r="L40" i="94"/>
  <c r="L33" i="108"/>
  <c r="L14" i="79"/>
  <c r="L26" i="99"/>
  <c r="L30" i="96"/>
  <c r="L32" i="99"/>
  <c r="S7" i="92"/>
  <c r="L39" i="109"/>
  <c r="L41" i="96"/>
  <c r="L14" i="95"/>
  <c r="L39" i="96"/>
  <c r="L34" i="94"/>
  <c r="L22" i="110"/>
  <c r="L19" i="110"/>
  <c r="L7" i="84"/>
  <c r="L34" i="95"/>
  <c r="R5" i="92"/>
  <c r="L27" i="108"/>
  <c r="U5" i="92"/>
  <c r="U7" i="92"/>
  <c r="W6" i="92"/>
  <c r="L7" i="95"/>
  <c r="L16" i="84"/>
  <c r="L27" i="84"/>
  <c r="L20" i="84"/>
  <c r="L14" i="84"/>
  <c r="L24" i="70"/>
  <c r="L4" i="75"/>
  <c r="L34" i="72"/>
  <c r="L17" i="70"/>
  <c r="L20" i="85"/>
  <c r="L16" i="85"/>
  <c r="L28" i="85"/>
  <c r="L19" i="85"/>
  <c r="L35" i="85"/>
  <c r="L24" i="85"/>
  <c r="L12" i="85"/>
  <c r="L8" i="85"/>
  <c r="L23" i="85"/>
  <c r="L17" i="85"/>
  <c r="L31" i="85"/>
  <c r="L40" i="85"/>
  <c r="L14" i="85"/>
  <c r="L39" i="85"/>
  <c r="L36" i="85"/>
  <c r="L11" i="85"/>
  <c r="L5" i="85"/>
  <c r="L41" i="85"/>
  <c r="L27" i="85"/>
  <c r="L15" i="85"/>
  <c r="L37" i="85"/>
  <c r="L21" i="85"/>
  <c r="L7" i="85"/>
  <c r="L32" i="85"/>
  <c r="L18" i="85"/>
  <c r="L6" i="85"/>
  <c r="L19" i="73"/>
  <c r="L4" i="107"/>
  <c r="L9" i="75"/>
  <c r="L14" i="82"/>
  <c r="L25" i="79"/>
  <c r="L11" i="79"/>
  <c r="L19" i="104"/>
  <c r="L28" i="104"/>
  <c r="L17" i="104"/>
  <c r="L24" i="104"/>
  <c r="L33" i="104"/>
  <c r="L18" i="104"/>
  <c r="L21" i="104"/>
  <c r="L16" i="104"/>
  <c r="L25" i="80"/>
  <c r="L24" i="80"/>
  <c r="L41" i="108"/>
  <c r="L12" i="106"/>
  <c r="L25" i="99"/>
  <c r="L33" i="94"/>
  <c r="L17" i="99"/>
  <c r="T7" i="92"/>
  <c r="W5" i="92"/>
  <c r="L35" i="109"/>
  <c r="L10" i="95"/>
  <c r="Q6" i="92"/>
  <c r="L4" i="84"/>
  <c r="L24" i="84"/>
  <c r="L26" i="109"/>
  <c r="L18" i="70"/>
  <c r="L7" i="82"/>
  <c r="L33" i="82"/>
  <c r="L17" i="79"/>
  <c r="L30" i="79"/>
  <c r="Q13" i="65"/>
  <c r="U6" i="65"/>
  <c r="X13" i="65"/>
  <c r="R8" i="65"/>
  <c r="R7" i="65"/>
  <c r="Z5" i="65"/>
  <c r="V13" i="65"/>
  <c r="T6" i="65"/>
  <c r="S13" i="65"/>
  <c r="W7" i="65"/>
  <c r="P13" i="65"/>
  <c r="U7" i="65"/>
  <c r="U8" i="65"/>
  <c r="Y6" i="65"/>
  <c r="O5" i="65"/>
  <c r="T8" i="65"/>
  <c r="X6" i="65"/>
  <c r="AA13" i="65"/>
  <c r="T7" i="65"/>
  <c r="U5" i="65"/>
  <c r="Y13" i="65"/>
  <c r="Q7" i="65"/>
  <c r="S5" i="65"/>
  <c r="V8" i="65"/>
  <c r="R6" i="65"/>
  <c r="S8" i="65"/>
  <c r="Q6" i="65"/>
  <c r="X7" i="65"/>
  <c r="Q5" i="65"/>
  <c r="S7" i="65"/>
  <c r="U13" i="65"/>
  <c r="V6" i="65"/>
  <c r="R13" i="65"/>
  <c r="Z8" i="65"/>
  <c r="P6" i="65"/>
  <c r="O13" i="65"/>
  <c r="W8" i="65"/>
  <c r="W5" i="65"/>
  <c r="P8" i="65"/>
  <c r="T5" i="65"/>
  <c r="Y8" i="65"/>
  <c r="R5" i="65"/>
  <c r="Z13" i="65"/>
  <c r="Q8" i="65"/>
  <c r="Z6" i="65"/>
  <c r="W13" i="65"/>
  <c r="T13" i="65"/>
  <c r="Z7" i="65"/>
  <c r="Y7" i="65"/>
  <c r="P7" i="65"/>
  <c r="W6" i="65"/>
  <c r="S6" i="65"/>
  <c r="Y5" i="65"/>
  <c r="X8" i="65"/>
  <c r="O8" i="65"/>
  <c r="V7" i="65"/>
  <c r="O6" i="65"/>
  <c r="X5" i="65"/>
  <c r="P5" i="65"/>
  <c r="O7" i="65"/>
  <c r="V5" i="65"/>
  <c r="L18" i="108"/>
  <c r="L9" i="106"/>
  <c r="X7" i="92"/>
  <c r="L20" i="99"/>
  <c r="Y5" i="92"/>
  <c r="V8" i="92"/>
  <c r="L39" i="95"/>
  <c r="L25" i="94"/>
  <c r="L13" i="99"/>
  <c r="L31" i="84"/>
  <c r="L32" i="84"/>
  <c r="L16" i="102"/>
  <c r="L27" i="102"/>
  <c r="L26" i="72"/>
  <c r="L17" i="82"/>
  <c r="L6" i="79"/>
  <c r="L34" i="68"/>
  <c r="L41" i="68"/>
  <c r="L30" i="68"/>
  <c r="L36" i="80"/>
  <c r="L28" i="80"/>
  <c r="L20" i="108"/>
  <c r="L16" i="99"/>
  <c r="L28" i="99"/>
  <c r="Z7" i="92"/>
  <c r="Z13" i="92"/>
  <c r="L36" i="109"/>
  <c r="L11" i="95"/>
  <c r="L4" i="110"/>
  <c r="V5" i="92"/>
  <c r="L8" i="84"/>
  <c r="L40" i="84"/>
  <c r="L33" i="95"/>
  <c r="L29" i="107"/>
  <c r="L6" i="95"/>
  <c r="L21" i="88"/>
  <c r="L18" i="101"/>
  <c r="L16" i="72"/>
  <c r="L8" i="107"/>
  <c r="L31" i="107"/>
  <c r="L39" i="82"/>
  <c r="L40" i="75"/>
  <c r="L22" i="79"/>
  <c r="L6" i="80"/>
  <c r="L13" i="80"/>
  <c r="L23" i="91"/>
  <c r="L41" i="91"/>
  <c r="L20" i="91"/>
  <c r="L25" i="108"/>
  <c r="L6" i="106"/>
  <c r="L29" i="96"/>
  <c r="L21" i="96"/>
  <c r="L37" i="96"/>
  <c r="L5" i="96"/>
  <c r="L33" i="96"/>
  <c r="L25" i="96"/>
  <c r="L22" i="96"/>
  <c r="L36" i="96"/>
  <c r="L15" i="99"/>
  <c r="L36" i="99"/>
  <c r="X5" i="92"/>
  <c r="L19" i="109"/>
  <c r="L36" i="95"/>
  <c r="L24" i="95"/>
  <c r="L32" i="96"/>
  <c r="L23" i="110"/>
  <c r="L41" i="110"/>
  <c r="L41" i="81"/>
  <c r="L35" i="99"/>
  <c r="L40" i="70"/>
  <c r="L27" i="70"/>
  <c r="L25" i="70"/>
  <c r="L19" i="70"/>
  <c r="L21" i="107"/>
  <c r="L34" i="79"/>
  <c r="L40" i="80"/>
  <c r="L40" i="99"/>
  <c r="L19" i="102"/>
  <c r="L30" i="73"/>
  <c r="L38" i="85"/>
  <c r="L27" i="72"/>
  <c r="L41" i="107"/>
  <c r="L27" i="82"/>
  <c r="L22" i="75"/>
  <c r="L21" i="82"/>
  <c r="L12" i="79"/>
  <c r="L13" i="79"/>
  <c r="L7" i="69"/>
  <c r="L21" i="69"/>
  <c r="L24" i="86"/>
  <c r="L32" i="74"/>
  <c r="L26" i="74"/>
  <c r="L17" i="74"/>
  <c r="L26" i="80"/>
  <c r="L20" i="80"/>
  <c r="L31" i="89"/>
  <c r="L16" i="91"/>
  <c r="L36" i="108"/>
  <c r="Q13" i="92"/>
  <c r="L6" i="99"/>
  <c r="L27" i="95"/>
  <c r="Y7" i="92"/>
  <c r="S6" i="92"/>
  <c r="L31" i="109"/>
  <c r="L8" i="95"/>
  <c r="L32" i="95"/>
  <c r="L40" i="96"/>
  <c r="L19" i="94"/>
  <c r="L5" i="110"/>
  <c r="L30" i="110"/>
  <c r="L19" i="84"/>
  <c r="L21" i="84"/>
  <c r="R13" i="92"/>
  <c r="L16" i="109"/>
  <c r="L17" i="109"/>
  <c r="L17" i="107"/>
  <c r="L20" i="72"/>
  <c r="L36" i="73"/>
  <c r="L37" i="88"/>
  <c r="L24" i="88"/>
  <c r="L30" i="77"/>
  <c r="Q8" i="92"/>
  <c r="L21" i="72"/>
  <c r="L31" i="67"/>
  <c r="L30" i="67"/>
  <c r="L27" i="67"/>
  <c r="L16" i="67"/>
  <c r="L36" i="67"/>
  <c r="L24" i="67"/>
  <c r="L5" i="67"/>
  <c r="L25" i="67"/>
  <c r="L19" i="67"/>
  <c r="L34" i="67"/>
  <c r="L32" i="67"/>
  <c r="L30" i="85"/>
  <c r="L26" i="104"/>
  <c r="L16" i="108"/>
  <c r="L21" i="67"/>
  <c r="L39" i="87"/>
  <c r="L30" i="102"/>
  <c r="L8" i="102"/>
  <c r="L37" i="100"/>
  <c r="L28" i="67"/>
  <c r="L29" i="67"/>
  <c r="L23" i="70"/>
  <c r="L8" i="87"/>
  <c r="L11" i="87"/>
  <c r="L36" i="72"/>
  <c r="L19" i="71"/>
  <c r="L39" i="77"/>
  <c r="L4" i="85"/>
  <c r="L31" i="73"/>
  <c r="L38" i="100"/>
  <c r="L32" i="107"/>
  <c r="L33" i="78"/>
  <c r="L11" i="82"/>
  <c r="L6" i="75"/>
  <c r="L29" i="82"/>
  <c r="L19" i="79"/>
  <c r="L36" i="69"/>
  <c r="L30" i="69"/>
  <c r="L7" i="86"/>
  <c r="L28" i="76"/>
  <c r="L27" i="76"/>
  <c r="L18" i="76"/>
  <c r="L23" i="76"/>
  <c r="L21" i="76"/>
  <c r="L16" i="76"/>
  <c r="L18" i="80"/>
  <c r="L21" i="80"/>
  <c r="L41" i="89"/>
  <c r="L39" i="91"/>
  <c r="L26" i="95"/>
  <c r="L31" i="94"/>
  <c r="L5" i="99"/>
  <c r="O8" i="92"/>
  <c r="O13" i="92"/>
  <c r="L17" i="95"/>
  <c r="L28" i="94"/>
  <c r="L15" i="110"/>
  <c r="L26" i="110"/>
  <c r="L18" i="84"/>
  <c r="L29" i="84"/>
  <c r="L15" i="73"/>
  <c r="L16" i="79"/>
  <c r="L41" i="77"/>
  <c r="L20" i="107"/>
  <c r="L15" i="67"/>
  <c r="L30" i="75"/>
  <c r="L35" i="102"/>
  <c r="L41" i="88"/>
  <c r="L40" i="88"/>
  <c r="L4" i="67"/>
  <c r="L40" i="102"/>
  <c r="L17" i="102"/>
  <c r="L24" i="108"/>
  <c r="L18" i="88"/>
  <c r="L37" i="67"/>
  <c r="L29" i="87"/>
  <c r="L30" i="88"/>
  <c r="L24" i="71"/>
  <c r="L29" i="77"/>
  <c r="L26" i="85"/>
  <c r="L8" i="73"/>
  <c r="L40" i="100"/>
  <c r="L32" i="82"/>
  <c r="L37" i="82"/>
  <c r="L33" i="79"/>
  <c r="L20" i="79"/>
  <c r="L12" i="86"/>
  <c r="L27" i="80"/>
  <c r="L29" i="80"/>
  <c r="L10" i="89"/>
  <c r="T8" i="92"/>
  <c r="L9" i="95"/>
  <c r="L7" i="111"/>
  <c r="L40" i="111"/>
  <c r="L6" i="111"/>
  <c r="L21" i="99"/>
  <c r="V13" i="92"/>
  <c r="O6" i="92"/>
  <c r="T6" i="92"/>
  <c r="L20" i="95"/>
  <c r="L41" i="95"/>
  <c r="L15" i="96"/>
  <c r="L15" i="94"/>
  <c r="L36" i="110"/>
  <c r="L34" i="81"/>
  <c r="L41" i="84"/>
  <c r="L37" i="84"/>
  <c r="O14" i="93" l="1"/>
  <c r="O14" i="83"/>
  <c r="O14" i="92"/>
  <c r="L16" i="101"/>
  <c r="M4" i="97"/>
  <c r="J1" i="106"/>
  <c r="I52" i="38"/>
  <c r="J27" i="87"/>
  <c r="H36" i="87"/>
  <c r="L36" i="87"/>
  <c r="O8" i="87" s="1"/>
  <c r="L8" i="100"/>
  <c r="U8" i="100" s="1"/>
  <c r="L35" i="104"/>
  <c r="F58" i="97"/>
  <c r="I36" i="38"/>
  <c r="K36" i="38" s="1"/>
  <c r="B49" i="80"/>
  <c r="T6" i="90"/>
  <c r="L7" i="81"/>
  <c r="L5" i="78"/>
  <c r="O5" i="96"/>
  <c r="T7" i="90"/>
  <c r="L4" i="78"/>
  <c r="R8" i="111"/>
  <c r="P7" i="90"/>
  <c r="X13" i="90"/>
  <c r="O13" i="90"/>
  <c r="S7" i="90"/>
  <c r="Y13" i="90"/>
  <c r="Q5" i="90"/>
  <c r="I27" i="38"/>
  <c r="K27" i="38" s="1"/>
  <c r="J1" i="109"/>
  <c r="B49" i="92"/>
  <c r="I48" i="38"/>
  <c r="K48" i="38" s="1"/>
  <c r="P8" i="90"/>
  <c r="V13" i="90"/>
  <c r="Z6" i="90"/>
  <c r="S6" i="90"/>
  <c r="U5" i="90"/>
  <c r="S8" i="90"/>
  <c r="B49" i="85"/>
  <c r="I41" i="38"/>
  <c r="L15" i="78"/>
  <c r="B49" i="81"/>
  <c r="I37" i="38"/>
  <c r="K37" i="38" s="1"/>
  <c r="L9" i="81"/>
  <c r="J4" i="87"/>
  <c r="G48" i="87"/>
  <c r="J48" i="87" s="1"/>
  <c r="Y7" i="90"/>
  <c r="B49" i="106"/>
  <c r="B49" i="65"/>
  <c r="I22" i="38"/>
  <c r="K22" i="38" s="1"/>
  <c r="W7" i="90"/>
  <c r="U7" i="90"/>
  <c r="O8" i="90"/>
  <c r="Z13" i="90"/>
  <c r="Y6" i="90"/>
  <c r="W13" i="90"/>
  <c r="Q8" i="90"/>
  <c r="B49" i="96"/>
  <c r="I56" i="38"/>
  <c r="K56" i="38" s="1"/>
  <c r="B49" i="78"/>
  <c r="I34" i="38"/>
  <c r="K34" i="38" s="1"/>
  <c r="L10" i="68"/>
  <c r="L12" i="68"/>
  <c r="R5" i="90"/>
  <c r="S5" i="90"/>
  <c r="W5" i="90"/>
  <c r="B49" i="82"/>
  <c r="I38" i="38"/>
  <c r="K38" i="38" s="1"/>
  <c r="B49" i="95"/>
  <c r="I51" i="38"/>
  <c r="K51" i="38" s="1"/>
  <c r="B49" i="74"/>
  <c r="I30" i="38"/>
  <c r="K30" i="38" s="1"/>
  <c r="W8" i="90"/>
  <c r="X7" i="90"/>
  <c r="U13" i="90"/>
  <c r="B49" i="108"/>
  <c r="I26" i="38"/>
  <c r="K26" i="38" s="1"/>
  <c r="L29" i="88"/>
  <c r="T13" i="90"/>
  <c r="AA13" i="90"/>
  <c r="B49" i="68"/>
  <c r="I24" i="38"/>
  <c r="K24" i="38" s="1"/>
  <c r="B49" i="107"/>
  <c r="I25" i="38"/>
  <c r="K25" i="38" s="1"/>
  <c r="Y5" i="90"/>
  <c r="T8" i="90"/>
  <c r="B49" i="67"/>
  <c r="I23" i="38"/>
  <c r="K23" i="38" s="1"/>
  <c r="B49" i="93"/>
  <c r="I49" i="38"/>
  <c r="K49" i="38" s="1"/>
  <c r="B49" i="91"/>
  <c r="I47" i="38"/>
  <c r="K47" i="38" s="1"/>
  <c r="R7" i="90"/>
  <c r="B49" i="69"/>
  <c r="I19" i="38"/>
  <c r="K19" i="38" s="1"/>
  <c r="B49" i="84"/>
  <c r="I40" i="38"/>
  <c r="K40" i="38" s="1"/>
  <c r="Z5" i="90"/>
  <c r="B49" i="77"/>
  <c r="I33" i="38"/>
  <c r="K33" i="38" s="1"/>
  <c r="X5" i="90"/>
  <c r="B49" i="104"/>
  <c r="I12" i="38"/>
  <c r="K12" i="38" s="1"/>
  <c r="P13" i="90"/>
  <c r="X8" i="90"/>
  <c r="O7" i="90"/>
  <c r="L11" i="68"/>
  <c r="R13" i="90"/>
  <c r="P5" i="90"/>
  <c r="L8" i="78"/>
  <c r="L13" i="78"/>
  <c r="V5" i="90"/>
  <c r="O6" i="90"/>
  <c r="Y8" i="90"/>
  <c r="U8" i="90"/>
  <c r="B49" i="73"/>
  <c r="I29" i="38"/>
  <c r="K29" i="38" s="1"/>
  <c r="B49" i="103"/>
  <c r="I11" i="38"/>
  <c r="K11" i="38" s="1"/>
  <c r="O5" i="90"/>
  <c r="B49" i="70"/>
  <c r="I20" i="38"/>
  <c r="K20" i="38" s="1"/>
  <c r="V13" i="111"/>
  <c r="V8" i="90"/>
  <c r="B49" i="83"/>
  <c r="I39" i="38"/>
  <c r="K39" i="38" s="1"/>
  <c r="B49" i="102"/>
  <c r="I10" i="38"/>
  <c r="K10" i="38" s="1"/>
  <c r="L11" i="78"/>
  <c r="L12" i="78"/>
  <c r="L10" i="78"/>
  <c r="V6" i="90"/>
  <c r="Q7" i="90"/>
  <c r="X6" i="90"/>
  <c r="B49" i="90"/>
  <c r="I46" i="38"/>
  <c r="K46" i="38" s="1"/>
  <c r="L6" i="78"/>
  <c r="V7" i="90"/>
  <c r="Z7" i="90"/>
  <c r="B49" i="94"/>
  <c r="I50" i="38"/>
  <c r="K50" i="38" s="1"/>
  <c r="Z6" i="111"/>
  <c r="Z8" i="90"/>
  <c r="B49" i="72"/>
  <c r="I28" i="38"/>
  <c r="K28" i="38" s="1"/>
  <c r="P6" i="90"/>
  <c r="B49" i="79"/>
  <c r="I35" i="38"/>
  <c r="K35" i="38" s="1"/>
  <c r="U6" i="90"/>
  <c r="S13" i="90"/>
  <c r="R8" i="90"/>
  <c r="V6" i="69"/>
  <c r="Z7" i="72"/>
  <c r="B49" i="89"/>
  <c r="I45" i="38"/>
  <c r="K45" i="38" s="1"/>
  <c r="B49" i="111"/>
  <c r="I44" i="38"/>
  <c r="K44" i="38" s="1"/>
  <c r="L7" i="78"/>
  <c r="Q13" i="90"/>
  <c r="R6" i="90"/>
  <c r="Y8" i="111"/>
  <c r="B49" i="86"/>
  <c r="I42" i="38"/>
  <c r="K42" i="38" s="1"/>
  <c r="B49" i="76"/>
  <c r="I32" i="38"/>
  <c r="K32" i="38" s="1"/>
  <c r="L36" i="74"/>
  <c r="L16" i="78"/>
  <c r="Q6" i="90"/>
  <c r="B49" i="110"/>
  <c r="I43" i="38"/>
  <c r="K43" i="38" s="1"/>
  <c r="Q13" i="111"/>
  <c r="W6" i="90"/>
  <c r="T5" i="90"/>
  <c r="B49" i="75"/>
  <c r="I31" i="38"/>
  <c r="K31" i="38" s="1"/>
  <c r="L5" i="74"/>
  <c r="O8" i="109"/>
  <c r="U9" i="83"/>
  <c r="X6" i="69"/>
  <c r="Z9" i="92"/>
  <c r="P5" i="72"/>
  <c r="O5" i="109"/>
  <c r="X5" i="77"/>
  <c r="X9" i="93"/>
  <c r="T5" i="69"/>
  <c r="S9" i="92"/>
  <c r="Z8" i="69"/>
  <c r="U7" i="109"/>
  <c r="S5" i="111"/>
  <c r="T5" i="72"/>
  <c r="S8" i="109"/>
  <c r="Q13" i="109"/>
  <c r="T6" i="69"/>
  <c r="V9" i="92"/>
  <c r="Q5" i="69"/>
  <c r="V5" i="111"/>
  <c r="W5" i="111"/>
  <c r="X6" i="80"/>
  <c r="S8" i="89"/>
  <c r="O8" i="69"/>
  <c r="R7" i="72"/>
  <c r="Q7" i="89"/>
  <c r="V13" i="80"/>
  <c r="Z8" i="111"/>
  <c r="Z8" i="72"/>
  <c r="P6" i="108"/>
  <c r="V6" i="80"/>
  <c r="Y8" i="80"/>
  <c r="S5" i="72"/>
  <c r="R9" i="92"/>
  <c r="Z5" i="69"/>
  <c r="X8" i="111"/>
  <c r="X6" i="109"/>
  <c r="U7" i="69"/>
  <c r="R6" i="72"/>
  <c r="X9" i="83"/>
  <c r="Z8" i="77"/>
  <c r="P9" i="92"/>
  <c r="T9" i="83"/>
  <c r="U5" i="72"/>
  <c r="S7" i="80"/>
  <c r="T6" i="111"/>
  <c r="S9" i="65"/>
  <c r="X9" i="65"/>
  <c r="R9" i="65"/>
  <c r="P9" i="65"/>
  <c r="W13" i="77"/>
  <c r="S6" i="108"/>
  <c r="P5" i="77"/>
  <c r="W6" i="108"/>
  <c r="Z6" i="108"/>
  <c r="T6" i="72"/>
  <c r="S8" i="72"/>
  <c r="O8" i="72"/>
  <c r="L38" i="88"/>
  <c r="V5" i="89"/>
  <c r="R8" i="89"/>
  <c r="Y8" i="109"/>
  <c r="W5" i="109"/>
  <c r="Z6" i="109"/>
  <c r="AA14" i="92"/>
  <c r="Z8" i="80"/>
  <c r="X7" i="80"/>
  <c r="Y6" i="80"/>
  <c r="Q8" i="77"/>
  <c r="L41" i="70"/>
  <c r="W6" i="77"/>
  <c r="T13" i="108"/>
  <c r="R6" i="108"/>
  <c r="W5" i="108"/>
  <c r="X13" i="72"/>
  <c r="U6" i="72"/>
  <c r="S13" i="72"/>
  <c r="W6" i="89"/>
  <c r="U8" i="89"/>
  <c r="T6" i="89"/>
  <c r="U8" i="109"/>
  <c r="O9" i="93"/>
  <c r="O10" i="93"/>
  <c r="AA5" i="93"/>
  <c r="O7" i="80"/>
  <c r="V5" i="80"/>
  <c r="S8" i="80"/>
  <c r="U5" i="89"/>
  <c r="U13" i="110"/>
  <c r="Q8" i="110"/>
  <c r="Y6" i="110"/>
  <c r="R5" i="110"/>
  <c r="T13" i="110"/>
  <c r="P8" i="110"/>
  <c r="X6" i="110"/>
  <c r="Q5" i="110"/>
  <c r="T7" i="110"/>
  <c r="Z8" i="110"/>
  <c r="R7" i="110"/>
  <c r="S5" i="110"/>
  <c r="Y8" i="110"/>
  <c r="P5" i="110"/>
  <c r="W13" i="110"/>
  <c r="O6" i="110"/>
  <c r="V13" i="110"/>
  <c r="Z7" i="110"/>
  <c r="R13" i="110"/>
  <c r="O7" i="110"/>
  <c r="Q13" i="110"/>
  <c r="AA13" i="110"/>
  <c r="P7" i="110"/>
  <c r="Z13" i="110"/>
  <c r="Y13" i="110"/>
  <c r="V8" i="110"/>
  <c r="S6" i="110"/>
  <c r="S7" i="110"/>
  <c r="Q7" i="110"/>
  <c r="R6" i="110"/>
  <c r="X8" i="110"/>
  <c r="Q6" i="110"/>
  <c r="X13" i="110"/>
  <c r="W8" i="110"/>
  <c r="P6" i="110"/>
  <c r="S13" i="110"/>
  <c r="U8" i="110"/>
  <c r="O13" i="110"/>
  <c r="S8" i="110"/>
  <c r="Z5" i="110"/>
  <c r="R8" i="110"/>
  <c r="Y5" i="110"/>
  <c r="Z6" i="110"/>
  <c r="W6" i="110"/>
  <c r="V6" i="110"/>
  <c r="U6" i="110"/>
  <c r="T6" i="110"/>
  <c r="W5" i="110"/>
  <c r="V5" i="110"/>
  <c r="O5" i="110"/>
  <c r="U5" i="110"/>
  <c r="T5" i="110"/>
  <c r="T8" i="110"/>
  <c r="O8" i="110"/>
  <c r="W7" i="110"/>
  <c r="X5" i="110"/>
  <c r="X7" i="110"/>
  <c r="P13" i="110"/>
  <c r="V7" i="110"/>
  <c r="U7" i="110"/>
  <c r="Y7" i="110"/>
  <c r="S8" i="108"/>
  <c r="Q8" i="89"/>
  <c r="Y8" i="107"/>
  <c r="Q7" i="107"/>
  <c r="Z5" i="107"/>
  <c r="S13" i="107"/>
  <c r="T6" i="107"/>
  <c r="X8" i="107"/>
  <c r="O7" i="107"/>
  <c r="W5" i="107"/>
  <c r="W8" i="107"/>
  <c r="V5" i="107"/>
  <c r="Q8" i="107"/>
  <c r="U6" i="107"/>
  <c r="Z13" i="107"/>
  <c r="O8" i="107"/>
  <c r="S7" i="107"/>
  <c r="U5" i="107"/>
  <c r="R7" i="107"/>
  <c r="T5" i="107"/>
  <c r="V13" i="107"/>
  <c r="O5" i="107"/>
  <c r="T13" i="107"/>
  <c r="R8" i="107"/>
  <c r="P6" i="107"/>
  <c r="AA13" i="107"/>
  <c r="Y6" i="107"/>
  <c r="P8" i="107"/>
  <c r="X5" i="107"/>
  <c r="Q13" i="107"/>
  <c r="T8" i="107"/>
  <c r="S5" i="107"/>
  <c r="O13" i="107"/>
  <c r="Q5" i="107"/>
  <c r="Z6" i="107"/>
  <c r="W6" i="107"/>
  <c r="Y5" i="107"/>
  <c r="Z8" i="107"/>
  <c r="R5" i="107"/>
  <c r="R13" i="107"/>
  <c r="Y7" i="107"/>
  <c r="P13" i="107"/>
  <c r="X7" i="107"/>
  <c r="T7" i="107"/>
  <c r="P5" i="107"/>
  <c r="X13" i="107"/>
  <c r="V7" i="107"/>
  <c r="W13" i="107"/>
  <c r="U7" i="107"/>
  <c r="S8" i="107"/>
  <c r="Z7" i="107"/>
  <c r="W7" i="107"/>
  <c r="X6" i="107"/>
  <c r="U8" i="107"/>
  <c r="V6" i="107"/>
  <c r="V8" i="107"/>
  <c r="P7" i="107"/>
  <c r="R6" i="107"/>
  <c r="Q6" i="107"/>
  <c r="S6" i="107"/>
  <c r="O6" i="107"/>
  <c r="Y13" i="107"/>
  <c r="U13" i="107"/>
  <c r="O7" i="69"/>
  <c r="Q7" i="69"/>
  <c r="T7" i="69"/>
  <c r="Y5" i="111"/>
  <c r="Q5" i="111"/>
  <c r="X13" i="111"/>
  <c r="AA6" i="65"/>
  <c r="AA14" i="65"/>
  <c r="O5" i="77"/>
  <c r="S8" i="77"/>
  <c r="O8" i="77"/>
  <c r="Y13" i="108"/>
  <c r="U8" i="108"/>
  <c r="P7" i="108"/>
  <c r="AA13" i="72"/>
  <c r="Z6" i="72"/>
  <c r="V8" i="72"/>
  <c r="Y6" i="89"/>
  <c r="W13" i="89"/>
  <c r="T13" i="89"/>
  <c r="S5" i="109"/>
  <c r="Q8" i="109"/>
  <c r="U6" i="109"/>
  <c r="V9" i="93"/>
  <c r="R13" i="102"/>
  <c r="V6" i="102"/>
  <c r="O5" i="102"/>
  <c r="P13" i="102"/>
  <c r="T6" i="102"/>
  <c r="O13" i="102"/>
  <c r="S6" i="102"/>
  <c r="Z7" i="102"/>
  <c r="X17" i="102"/>
  <c r="X8" i="102"/>
  <c r="P7" i="102"/>
  <c r="Y5" i="102"/>
  <c r="V17" i="102"/>
  <c r="W13" i="102"/>
  <c r="W7" i="102"/>
  <c r="O17" i="102"/>
  <c r="O7" i="102"/>
  <c r="T5" i="102"/>
  <c r="V8" i="102"/>
  <c r="Z6" i="102"/>
  <c r="S8" i="102"/>
  <c r="Q6" i="102"/>
  <c r="R8" i="102"/>
  <c r="P6" i="102"/>
  <c r="Q8" i="102"/>
  <c r="O6" i="102"/>
  <c r="X7" i="102"/>
  <c r="Z5" i="102"/>
  <c r="Y17" i="102"/>
  <c r="U13" i="102"/>
  <c r="Q7" i="102"/>
  <c r="R5" i="102"/>
  <c r="AA13" i="102"/>
  <c r="Z13" i="102"/>
  <c r="Y6" i="102"/>
  <c r="Y13" i="102"/>
  <c r="X6" i="102"/>
  <c r="P17" i="102"/>
  <c r="V5" i="102"/>
  <c r="U5" i="102"/>
  <c r="P8" i="102"/>
  <c r="Q5" i="102"/>
  <c r="Z17" i="102"/>
  <c r="W6" i="102"/>
  <c r="U6" i="102"/>
  <c r="W17" i="102"/>
  <c r="S7" i="102"/>
  <c r="T17" i="102"/>
  <c r="Y8" i="102"/>
  <c r="S5" i="102"/>
  <c r="W8" i="102"/>
  <c r="P5" i="102"/>
  <c r="S17" i="102"/>
  <c r="R17" i="102"/>
  <c r="Q17" i="102"/>
  <c r="T8" i="102"/>
  <c r="V13" i="102"/>
  <c r="Z8" i="102"/>
  <c r="U8" i="102"/>
  <c r="O8" i="102"/>
  <c r="T7" i="102"/>
  <c r="Q13" i="102"/>
  <c r="R6" i="102"/>
  <c r="R7" i="102"/>
  <c r="X13" i="102"/>
  <c r="T13" i="102"/>
  <c r="S13" i="102"/>
  <c r="V7" i="102"/>
  <c r="U7" i="102"/>
  <c r="AA17" i="102"/>
  <c r="Y7" i="102"/>
  <c r="X5" i="102"/>
  <c r="U17" i="102"/>
  <c r="W5" i="102"/>
  <c r="R7" i="80"/>
  <c r="Y7" i="80"/>
  <c r="AA13" i="80"/>
  <c r="U5" i="77"/>
  <c r="Q6" i="89"/>
  <c r="AA13" i="79"/>
  <c r="W8" i="79"/>
  <c r="O7" i="79"/>
  <c r="X5" i="79"/>
  <c r="P13" i="79"/>
  <c r="Z7" i="79"/>
  <c r="Q6" i="79"/>
  <c r="V7" i="79"/>
  <c r="U13" i="79"/>
  <c r="O6" i="79"/>
  <c r="T13" i="79"/>
  <c r="Y7" i="79"/>
  <c r="V8" i="79"/>
  <c r="Q5" i="79"/>
  <c r="T8" i="79"/>
  <c r="Y6" i="79"/>
  <c r="O5" i="79"/>
  <c r="W13" i="79"/>
  <c r="R7" i="79"/>
  <c r="S5" i="79"/>
  <c r="V13" i="79"/>
  <c r="Q7" i="79"/>
  <c r="R5" i="79"/>
  <c r="S13" i="79"/>
  <c r="P7" i="79"/>
  <c r="P5" i="79"/>
  <c r="Q8" i="79"/>
  <c r="R6" i="79"/>
  <c r="P8" i="79"/>
  <c r="P6" i="79"/>
  <c r="T7" i="79"/>
  <c r="S7" i="79"/>
  <c r="Y13" i="79"/>
  <c r="V6" i="79"/>
  <c r="X13" i="79"/>
  <c r="U6" i="79"/>
  <c r="R13" i="79"/>
  <c r="T6" i="79"/>
  <c r="Q13" i="79"/>
  <c r="Z8" i="79"/>
  <c r="S6" i="79"/>
  <c r="X8" i="79"/>
  <c r="U8" i="79"/>
  <c r="O13" i="79"/>
  <c r="X7" i="79"/>
  <c r="W7" i="79"/>
  <c r="U7" i="79"/>
  <c r="X6" i="79"/>
  <c r="Y5" i="79"/>
  <c r="W5" i="79"/>
  <c r="Y8" i="79"/>
  <c r="R8" i="79"/>
  <c r="Z6" i="79"/>
  <c r="Z5" i="79"/>
  <c r="W6" i="79"/>
  <c r="V5" i="79"/>
  <c r="U5" i="79"/>
  <c r="Z13" i="79"/>
  <c r="T5" i="79"/>
  <c r="S8" i="79"/>
  <c r="O8" i="79"/>
  <c r="AA7" i="65"/>
  <c r="X6" i="89"/>
  <c r="S5" i="80"/>
  <c r="L29" i="76"/>
  <c r="U9" i="65"/>
  <c r="U6" i="77"/>
  <c r="V7" i="69"/>
  <c r="P7" i="111"/>
  <c r="T9" i="65"/>
  <c r="R5" i="77"/>
  <c r="Y8" i="77"/>
  <c r="X6" i="77"/>
  <c r="S13" i="77"/>
  <c r="O7" i="108"/>
  <c r="T7" i="108"/>
  <c r="Z5" i="72"/>
  <c r="V7" i="72"/>
  <c r="X5" i="72"/>
  <c r="S13" i="89"/>
  <c r="T13" i="109"/>
  <c r="AA7" i="83"/>
  <c r="W9" i="93"/>
  <c r="U8" i="80"/>
  <c r="W5" i="80"/>
  <c r="O6" i="89"/>
  <c r="X8" i="109"/>
  <c r="R13" i="89"/>
  <c r="U8" i="111"/>
  <c r="W13" i="111"/>
  <c r="P6" i="111"/>
  <c r="AA8" i="65"/>
  <c r="L37" i="104"/>
  <c r="Q5" i="77"/>
  <c r="Y5" i="77"/>
  <c r="U8" i="77"/>
  <c r="Z13" i="108"/>
  <c r="T6" i="108"/>
  <c r="P5" i="108"/>
  <c r="V6" i="72"/>
  <c r="W7" i="72"/>
  <c r="U6" i="89"/>
  <c r="T5" i="109"/>
  <c r="Y6" i="109"/>
  <c r="L36" i="91"/>
  <c r="Z7" i="80"/>
  <c r="U7" i="80"/>
  <c r="Q8" i="80"/>
  <c r="AA13" i="77"/>
  <c r="R13" i="109"/>
  <c r="T5" i="111"/>
  <c r="X5" i="111"/>
  <c r="W8" i="77"/>
  <c r="Y5" i="69"/>
  <c r="L38" i="70"/>
  <c r="R8" i="69"/>
  <c r="P7" i="69"/>
  <c r="R13" i="111"/>
  <c r="X7" i="111"/>
  <c r="W9" i="65"/>
  <c r="O9" i="65"/>
  <c r="AA5" i="65"/>
  <c r="O10" i="65"/>
  <c r="W5" i="77"/>
  <c r="Z5" i="77"/>
  <c r="Q7" i="108"/>
  <c r="W8" i="108"/>
  <c r="X6" i="108"/>
  <c r="Y7" i="72"/>
  <c r="Z13" i="72"/>
  <c r="V13" i="89"/>
  <c r="U13" i="89"/>
  <c r="Y13" i="109"/>
  <c r="Z5" i="109"/>
  <c r="Y9" i="83"/>
  <c r="P9" i="93"/>
  <c r="W8" i="80"/>
  <c r="T5" i="80"/>
  <c r="V7" i="80"/>
  <c r="V9" i="65"/>
  <c r="P8" i="89"/>
  <c r="P8" i="69"/>
  <c r="O13" i="108"/>
  <c r="P5" i="109"/>
  <c r="Z9" i="93"/>
  <c r="L39" i="76"/>
  <c r="X5" i="69"/>
  <c r="L39" i="70"/>
  <c r="V8" i="111"/>
  <c r="R5" i="111"/>
  <c r="Q6" i="111"/>
  <c r="X8" i="77"/>
  <c r="V7" i="77"/>
  <c r="R7" i="108"/>
  <c r="P13" i="108"/>
  <c r="R8" i="108"/>
  <c r="L34" i="70"/>
  <c r="O6" i="72"/>
  <c r="Y6" i="72"/>
  <c r="Z6" i="89"/>
  <c r="AA13" i="109"/>
  <c r="R7" i="109"/>
  <c r="W9" i="83"/>
  <c r="R9" i="93"/>
  <c r="P7" i="80"/>
  <c r="T6" i="80"/>
  <c r="W13" i="80"/>
  <c r="V8" i="109"/>
  <c r="X13" i="80"/>
  <c r="AA12" i="83"/>
  <c r="O5" i="80"/>
  <c r="O7" i="77"/>
  <c r="L34" i="88"/>
  <c r="L36" i="88"/>
  <c r="L31" i="88"/>
  <c r="T8" i="111"/>
  <c r="L35" i="76"/>
  <c r="O5" i="69"/>
  <c r="Q7" i="111"/>
  <c r="T13" i="77"/>
  <c r="O5" i="89"/>
  <c r="Q6" i="109"/>
  <c r="Q5" i="80"/>
  <c r="AA6" i="92"/>
  <c r="Y7" i="85"/>
  <c r="Q6" i="85"/>
  <c r="X7" i="85"/>
  <c r="P6" i="85"/>
  <c r="X13" i="85"/>
  <c r="T8" i="85"/>
  <c r="U5" i="85"/>
  <c r="V13" i="85"/>
  <c r="R8" i="85"/>
  <c r="Z6" i="85"/>
  <c r="S5" i="85"/>
  <c r="Q8" i="85"/>
  <c r="V6" i="85"/>
  <c r="P8" i="85"/>
  <c r="U6" i="85"/>
  <c r="R7" i="85"/>
  <c r="X5" i="85"/>
  <c r="Q7" i="85"/>
  <c r="W5" i="85"/>
  <c r="T13" i="85"/>
  <c r="P7" i="85"/>
  <c r="P5" i="85"/>
  <c r="S13" i="85"/>
  <c r="O7" i="85"/>
  <c r="O5" i="85"/>
  <c r="V8" i="85"/>
  <c r="S6" i="85"/>
  <c r="O8" i="85"/>
  <c r="S8" i="85"/>
  <c r="Z5" i="85"/>
  <c r="Y5" i="85"/>
  <c r="U7" i="85"/>
  <c r="S7" i="85"/>
  <c r="O13" i="85"/>
  <c r="Z7" i="85"/>
  <c r="Y6" i="85"/>
  <c r="X6" i="85"/>
  <c r="T6" i="85"/>
  <c r="R6" i="85"/>
  <c r="V5" i="85"/>
  <c r="T5" i="85"/>
  <c r="R5" i="85"/>
  <c r="Q5" i="85"/>
  <c r="Z8" i="85"/>
  <c r="W8" i="85"/>
  <c r="Y8" i="85"/>
  <c r="X8" i="85"/>
  <c r="AA13" i="85"/>
  <c r="Z13" i="85"/>
  <c r="U8" i="85"/>
  <c r="W7" i="85"/>
  <c r="U13" i="85"/>
  <c r="Y13" i="85"/>
  <c r="W13" i="85"/>
  <c r="V7" i="85"/>
  <c r="P13" i="85"/>
  <c r="T7" i="85"/>
  <c r="W6" i="85"/>
  <c r="O6" i="85"/>
  <c r="Q13" i="85"/>
  <c r="R13" i="85"/>
  <c r="W8" i="69"/>
  <c r="T8" i="69"/>
  <c r="Z7" i="69"/>
  <c r="L30" i="70"/>
  <c r="U13" i="111"/>
  <c r="Y13" i="111"/>
  <c r="Y9" i="65"/>
  <c r="L39" i="104"/>
  <c r="S7" i="77"/>
  <c r="O6" i="77"/>
  <c r="U5" i="108"/>
  <c r="T5" i="108"/>
  <c r="R8" i="72"/>
  <c r="O5" i="72"/>
  <c r="X13" i="89"/>
  <c r="R7" i="89"/>
  <c r="Z13" i="109"/>
  <c r="R6" i="109"/>
  <c r="Q5" i="109"/>
  <c r="Y7" i="109"/>
  <c r="S9" i="93"/>
  <c r="R5" i="80"/>
  <c r="T8" i="89"/>
  <c r="V7" i="109"/>
  <c r="Y13" i="80"/>
  <c r="V8" i="77"/>
  <c r="Y5" i="72"/>
  <c r="V6" i="89"/>
  <c r="Y6" i="69"/>
  <c r="L33" i="76"/>
  <c r="R7" i="69"/>
  <c r="U5" i="69"/>
  <c r="S13" i="111"/>
  <c r="S13" i="75"/>
  <c r="O8" i="75"/>
  <c r="W6" i="75"/>
  <c r="P5" i="75"/>
  <c r="V8" i="75"/>
  <c r="U5" i="75"/>
  <c r="T8" i="75"/>
  <c r="Z6" i="75"/>
  <c r="Q5" i="75"/>
  <c r="U8" i="75"/>
  <c r="Y6" i="75"/>
  <c r="P13" i="75"/>
  <c r="V7" i="75"/>
  <c r="T7" i="75"/>
  <c r="Z5" i="75"/>
  <c r="Y8" i="75"/>
  <c r="X6" i="75"/>
  <c r="V13" i="75"/>
  <c r="U13" i="75"/>
  <c r="T13" i="75"/>
  <c r="V6" i="75"/>
  <c r="Z7" i="75"/>
  <c r="X7" i="75"/>
  <c r="X5" i="75"/>
  <c r="W7" i="75"/>
  <c r="R5" i="75"/>
  <c r="U7" i="75"/>
  <c r="O5" i="75"/>
  <c r="S7" i="75"/>
  <c r="Z13" i="75"/>
  <c r="Z8" i="75"/>
  <c r="Q6" i="75"/>
  <c r="Y13" i="75"/>
  <c r="X8" i="75"/>
  <c r="P6" i="75"/>
  <c r="W13" i="75"/>
  <c r="R13" i="75"/>
  <c r="Q13" i="75"/>
  <c r="R7" i="75"/>
  <c r="U6" i="75"/>
  <c r="T6" i="75"/>
  <c r="R6" i="75"/>
  <c r="O6" i="75"/>
  <c r="Q8" i="75"/>
  <c r="P8" i="75"/>
  <c r="Y7" i="75"/>
  <c r="Q7" i="75"/>
  <c r="X13" i="75"/>
  <c r="S6" i="75"/>
  <c r="W5" i="75"/>
  <c r="V5" i="75"/>
  <c r="W8" i="75"/>
  <c r="R8" i="75"/>
  <c r="T5" i="75"/>
  <c r="AA13" i="75"/>
  <c r="S5" i="75"/>
  <c r="O13" i="75"/>
  <c r="S8" i="75"/>
  <c r="P7" i="75"/>
  <c r="O7" i="75"/>
  <c r="Y5" i="75"/>
  <c r="P6" i="72"/>
  <c r="L33" i="88"/>
  <c r="P8" i="109"/>
  <c r="R13" i="80"/>
  <c r="X8" i="69"/>
  <c r="Y6" i="111"/>
  <c r="O6" i="111"/>
  <c r="V6" i="111"/>
  <c r="U7" i="77"/>
  <c r="W7" i="77"/>
  <c r="Y5" i="108"/>
  <c r="U7" i="108"/>
  <c r="R5" i="108"/>
  <c r="Q8" i="72"/>
  <c r="W8" i="72"/>
  <c r="L35" i="70"/>
  <c r="P5" i="89"/>
  <c r="S7" i="89"/>
  <c r="S7" i="109"/>
  <c r="T6" i="109"/>
  <c r="O7" i="109"/>
  <c r="S9" i="83"/>
  <c r="Z9" i="83"/>
  <c r="AA8" i="93"/>
  <c r="T9" i="93"/>
  <c r="T7" i="80"/>
  <c r="U5" i="80"/>
  <c r="P5" i="80"/>
  <c r="O13" i="109"/>
  <c r="X13" i="106"/>
  <c r="T8" i="106"/>
  <c r="U5" i="106"/>
  <c r="T13" i="106"/>
  <c r="R13" i="106"/>
  <c r="W13" i="106"/>
  <c r="S8" i="106"/>
  <c r="T5" i="106"/>
  <c r="R8" i="106"/>
  <c r="Z6" i="106"/>
  <c r="U13" i="106"/>
  <c r="Q8" i="106"/>
  <c r="R5" i="106"/>
  <c r="P8" i="106"/>
  <c r="O5" i="106"/>
  <c r="V13" i="106"/>
  <c r="S5" i="106"/>
  <c r="Y6" i="106"/>
  <c r="X6" i="106"/>
  <c r="Q5" i="106"/>
  <c r="V6" i="106"/>
  <c r="S13" i="106"/>
  <c r="O8" i="106"/>
  <c r="W6" i="106"/>
  <c r="P5" i="106"/>
  <c r="P13" i="106"/>
  <c r="T6" i="106"/>
  <c r="O13" i="106"/>
  <c r="S6" i="106"/>
  <c r="P6" i="106"/>
  <c r="Z7" i="106"/>
  <c r="R6" i="106"/>
  <c r="Y7" i="106"/>
  <c r="Q6" i="106"/>
  <c r="X7" i="106"/>
  <c r="W7" i="106"/>
  <c r="O6" i="106"/>
  <c r="U7" i="106"/>
  <c r="V7" i="106"/>
  <c r="T7" i="106"/>
  <c r="U6" i="106"/>
  <c r="Z5" i="106"/>
  <c r="V5" i="106"/>
  <c r="O7" i="106"/>
  <c r="X5" i="106"/>
  <c r="P7" i="106"/>
  <c r="Y5" i="106"/>
  <c r="W5" i="106"/>
  <c r="S7" i="106"/>
  <c r="Z8" i="106"/>
  <c r="Y8" i="106"/>
  <c r="Y13" i="106"/>
  <c r="X8" i="106"/>
  <c r="V8" i="106"/>
  <c r="W8" i="106"/>
  <c r="R7" i="106"/>
  <c r="U8" i="106"/>
  <c r="Z13" i="106"/>
  <c r="AA13" i="106"/>
  <c r="Q13" i="106"/>
  <c r="Q7" i="106"/>
  <c r="U13" i="67"/>
  <c r="Q8" i="67"/>
  <c r="Y6" i="67"/>
  <c r="R5" i="67"/>
  <c r="T7" i="67"/>
  <c r="R7" i="67"/>
  <c r="Y5" i="67"/>
  <c r="Z8" i="67"/>
  <c r="P7" i="67"/>
  <c r="W5" i="67"/>
  <c r="T13" i="67"/>
  <c r="T6" i="67"/>
  <c r="S13" i="67"/>
  <c r="S6" i="67"/>
  <c r="R8" i="67"/>
  <c r="Q6" i="67"/>
  <c r="O8" i="67"/>
  <c r="O6" i="67"/>
  <c r="O7" i="67"/>
  <c r="Q5" i="67"/>
  <c r="P5" i="67"/>
  <c r="T8" i="67"/>
  <c r="P8" i="67"/>
  <c r="Y13" i="67"/>
  <c r="S7" i="67"/>
  <c r="W13" i="67"/>
  <c r="U8" i="67"/>
  <c r="V5" i="67"/>
  <c r="T5" i="67"/>
  <c r="Z6" i="67"/>
  <c r="AA13" i="67"/>
  <c r="W6" i="67"/>
  <c r="Z7" i="67"/>
  <c r="X7" i="67"/>
  <c r="R6" i="67"/>
  <c r="Z13" i="67"/>
  <c r="X8" i="67"/>
  <c r="X13" i="67"/>
  <c r="W8" i="67"/>
  <c r="V13" i="67"/>
  <c r="V8" i="67"/>
  <c r="V7" i="67"/>
  <c r="U7" i="67"/>
  <c r="Q7" i="67"/>
  <c r="X6" i="67"/>
  <c r="V6" i="67"/>
  <c r="U6" i="67"/>
  <c r="Z5" i="67"/>
  <c r="X5" i="67"/>
  <c r="Y8" i="67"/>
  <c r="S8" i="67"/>
  <c r="Y7" i="67"/>
  <c r="P13" i="67"/>
  <c r="P6" i="67"/>
  <c r="O13" i="67"/>
  <c r="U5" i="67"/>
  <c r="S5" i="67"/>
  <c r="Q13" i="67"/>
  <c r="O5" i="67"/>
  <c r="W7" i="67"/>
  <c r="R13" i="67"/>
  <c r="Z5" i="108"/>
  <c r="R6" i="89"/>
  <c r="X13" i="77"/>
  <c r="W5" i="72"/>
  <c r="O13" i="111"/>
  <c r="U5" i="111"/>
  <c r="L14" i="68"/>
  <c r="L35" i="68"/>
  <c r="L39" i="68"/>
  <c r="L40" i="68"/>
  <c r="L33" i="68"/>
  <c r="L37" i="68"/>
  <c r="Z6" i="69"/>
  <c r="Q8" i="69"/>
  <c r="Y7" i="69"/>
  <c r="O14" i="65"/>
  <c r="AA12" i="65" s="1"/>
  <c r="Y6" i="77"/>
  <c r="X13" i="108"/>
  <c r="P7" i="72"/>
  <c r="U7" i="89"/>
  <c r="S13" i="109"/>
  <c r="T13" i="80"/>
  <c r="V5" i="69"/>
  <c r="Z13" i="111"/>
  <c r="Q8" i="111"/>
  <c r="Y7" i="77"/>
  <c r="T6" i="77"/>
  <c r="U13" i="77"/>
  <c r="T9" i="92"/>
  <c r="V5" i="108"/>
  <c r="Y6" i="108"/>
  <c r="T8" i="72"/>
  <c r="X8" i="72"/>
  <c r="X7" i="72"/>
  <c r="V7" i="89"/>
  <c r="O7" i="89"/>
  <c r="X8" i="89"/>
  <c r="X7" i="109"/>
  <c r="W6" i="109"/>
  <c r="X13" i="109"/>
  <c r="L38" i="94"/>
  <c r="L39" i="94"/>
  <c r="L30" i="94"/>
  <c r="L35" i="94"/>
  <c r="L32" i="94"/>
  <c r="L29" i="94"/>
  <c r="L36" i="94"/>
  <c r="AA7" i="93"/>
  <c r="O13" i="80"/>
  <c r="Q7" i="80"/>
  <c r="W6" i="80"/>
  <c r="O13" i="89"/>
  <c r="Q6" i="108"/>
  <c r="X8" i="80"/>
  <c r="S6" i="89"/>
  <c r="O6" i="69"/>
  <c r="T8" i="77"/>
  <c r="U8" i="71"/>
  <c r="V5" i="71"/>
  <c r="R6" i="71"/>
  <c r="U7" i="71"/>
  <c r="Q8" i="71"/>
  <c r="W6" i="71"/>
  <c r="P7" i="71"/>
  <c r="U5" i="71"/>
  <c r="Z8" i="71"/>
  <c r="S5" i="71"/>
  <c r="P6" i="71"/>
  <c r="O6" i="71"/>
  <c r="T7" i="71"/>
  <c r="T5" i="71"/>
  <c r="R7" i="71"/>
  <c r="Q5" i="71"/>
  <c r="S8" i="71"/>
  <c r="S6" i="71"/>
  <c r="R8" i="71"/>
  <c r="Q6" i="71"/>
  <c r="Z7" i="71"/>
  <c r="W5" i="71"/>
  <c r="X7" i="71"/>
  <c r="P5" i="71"/>
  <c r="Y6" i="71"/>
  <c r="V6" i="71"/>
  <c r="Z6" i="71"/>
  <c r="U6" i="71"/>
  <c r="O8" i="71"/>
  <c r="O5" i="71"/>
  <c r="X6" i="71"/>
  <c r="W8" i="71"/>
  <c r="R5" i="71"/>
  <c r="T8" i="71"/>
  <c r="Y7" i="71"/>
  <c r="W7" i="71"/>
  <c r="V7" i="71"/>
  <c r="Q7" i="71"/>
  <c r="T6" i="71"/>
  <c r="Z5" i="71"/>
  <c r="Y5" i="71"/>
  <c r="O7" i="71"/>
  <c r="X5" i="71"/>
  <c r="Y8" i="71"/>
  <c r="X8" i="71"/>
  <c r="V8" i="71"/>
  <c r="P8" i="71"/>
  <c r="S7" i="71"/>
  <c r="L31" i="76"/>
  <c r="S8" i="69"/>
  <c r="X9" i="92"/>
  <c r="Y7" i="111"/>
  <c r="S5" i="108"/>
  <c r="U8" i="72"/>
  <c r="Y5" i="89"/>
  <c r="U8" i="69"/>
  <c r="O5" i="111"/>
  <c r="U6" i="111"/>
  <c r="W6" i="111"/>
  <c r="U13" i="84"/>
  <c r="Q8" i="84"/>
  <c r="Y6" i="84"/>
  <c r="R5" i="84"/>
  <c r="T13" i="84"/>
  <c r="P8" i="84"/>
  <c r="X6" i="84"/>
  <c r="Q5" i="84"/>
  <c r="T7" i="84"/>
  <c r="Z8" i="84"/>
  <c r="R7" i="84"/>
  <c r="V13" i="84"/>
  <c r="Z7" i="84"/>
  <c r="S13" i="84"/>
  <c r="Y7" i="84"/>
  <c r="W8" i="84"/>
  <c r="V8" i="84"/>
  <c r="Z6" i="84"/>
  <c r="V6" i="84"/>
  <c r="Y8" i="84"/>
  <c r="U6" i="84"/>
  <c r="Y5" i="84"/>
  <c r="W7" i="84"/>
  <c r="V5" i="84"/>
  <c r="X7" i="84"/>
  <c r="P5" i="84"/>
  <c r="V7" i="84"/>
  <c r="O5" i="84"/>
  <c r="U7" i="84"/>
  <c r="Z13" i="84"/>
  <c r="W6" i="84"/>
  <c r="Y13" i="84"/>
  <c r="T6" i="84"/>
  <c r="R13" i="84"/>
  <c r="W13" i="84"/>
  <c r="O8" i="84"/>
  <c r="Q13" i="84"/>
  <c r="P13" i="84"/>
  <c r="O7" i="84"/>
  <c r="S6" i="84"/>
  <c r="Q6" i="84"/>
  <c r="P6" i="84"/>
  <c r="S7" i="84"/>
  <c r="AA13" i="84"/>
  <c r="Q7" i="84"/>
  <c r="X13" i="84"/>
  <c r="P7" i="84"/>
  <c r="O13" i="84"/>
  <c r="R6" i="84"/>
  <c r="O6" i="84"/>
  <c r="X5" i="84"/>
  <c r="S5" i="84"/>
  <c r="W5" i="84"/>
  <c r="U5" i="84"/>
  <c r="T5" i="84"/>
  <c r="X8" i="84"/>
  <c r="Z5" i="84"/>
  <c r="R8" i="84"/>
  <c r="S8" i="84"/>
  <c r="U8" i="84"/>
  <c r="T8" i="84"/>
  <c r="L40" i="104"/>
  <c r="T7" i="77"/>
  <c r="V6" i="77"/>
  <c r="O6" i="108"/>
  <c r="W7" i="108"/>
  <c r="Q8" i="108"/>
  <c r="O13" i="72"/>
  <c r="P13" i="72"/>
  <c r="T13" i="72"/>
  <c r="Q9" i="92"/>
  <c r="Y13" i="89"/>
  <c r="Z7" i="109"/>
  <c r="U5" i="109"/>
  <c r="V6" i="109"/>
  <c r="AA14" i="83"/>
  <c r="L37" i="70"/>
  <c r="W7" i="80"/>
  <c r="U13" i="80"/>
  <c r="O8" i="80"/>
  <c r="L35" i="74"/>
  <c r="L40" i="74"/>
  <c r="L33" i="74"/>
  <c r="L41" i="74"/>
  <c r="L38" i="74"/>
  <c r="L37" i="74"/>
  <c r="L30" i="74"/>
  <c r="L34" i="74"/>
  <c r="L39" i="74"/>
  <c r="L29" i="74"/>
  <c r="L31" i="74"/>
  <c r="P8" i="111"/>
  <c r="AA13" i="111"/>
  <c r="S8" i="111"/>
  <c r="R8" i="77"/>
  <c r="Z6" i="77"/>
  <c r="X7" i="77"/>
  <c r="S7" i="108"/>
  <c r="U6" i="108"/>
  <c r="X8" i="108"/>
  <c r="U13" i="108"/>
  <c r="Q5" i="72"/>
  <c r="Q7" i="72"/>
  <c r="Y7" i="89"/>
  <c r="Q5" i="89"/>
  <c r="Z5" i="89"/>
  <c r="R5" i="109"/>
  <c r="Z8" i="109"/>
  <c r="T8" i="109"/>
  <c r="U9" i="93"/>
  <c r="Q13" i="80"/>
  <c r="P13" i="80"/>
  <c r="S13" i="80"/>
  <c r="L35" i="88"/>
  <c r="Z13" i="77"/>
  <c r="Z5" i="111"/>
  <c r="P7" i="77"/>
  <c r="V13" i="77"/>
  <c r="V7" i="108"/>
  <c r="O5" i="108"/>
  <c r="R13" i="72"/>
  <c r="S7" i="72"/>
  <c r="V5" i="72"/>
  <c r="U13" i="82"/>
  <c r="Q8" i="82"/>
  <c r="Y6" i="82"/>
  <c r="R5" i="82"/>
  <c r="R13" i="82"/>
  <c r="S6" i="82"/>
  <c r="Q13" i="82"/>
  <c r="R6" i="82"/>
  <c r="X8" i="82"/>
  <c r="O7" i="82"/>
  <c r="W5" i="82"/>
  <c r="V8" i="82"/>
  <c r="U5" i="82"/>
  <c r="T13" i="82"/>
  <c r="U7" i="82"/>
  <c r="Y5" i="82"/>
  <c r="S13" i="82"/>
  <c r="T7" i="82"/>
  <c r="X5" i="82"/>
  <c r="P13" i="82"/>
  <c r="S7" i="82"/>
  <c r="V5" i="82"/>
  <c r="R8" i="82"/>
  <c r="U6" i="82"/>
  <c r="P8" i="82"/>
  <c r="T6" i="82"/>
  <c r="R7" i="82"/>
  <c r="Q7" i="82"/>
  <c r="Y8" i="82"/>
  <c r="Q6" i="82"/>
  <c r="T8" i="82"/>
  <c r="S8" i="82"/>
  <c r="V7" i="82"/>
  <c r="P7" i="82"/>
  <c r="V6" i="82"/>
  <c r="O6" i="82"/>
  <c r="Z13" i="82"/>
  <c r="Z8" i="82"/>
  <c r="Y13" i="82"/>
  <c r="W8" i="82"/>
  <c r="Z5" i="82"/>
  <c r="Z6" i="82"/>
  <c r="X6" i="82"/>
  <c r="W6" i="82"/>
  <c r="P5" i="82"/>
  <c r="O5" i="82"/>
  <c r="U8" i="82"/>
  <c r="O8" i="82"/>
  <c r="W7" i="82"/>
  <c r="V13" i="82"/>
  <c r="S5" i="82"/>
  <c r="AA13" i="82"/>
  <c r="P6" i="82"/>
  <c r="X13" i="82"/>
  <c r="W13" i="82"/>
  <c r="T5" i="82"/>
  <c r="Z7" i="82"/>
  <c r="X7" i="82"/>
  <c r="Y7" i="82"/>
  <c r="Q5" i="82"/>
  <c r="O13" i="82"/>
  <c r="Z7" i="89"/>
  <c r="P7" i="89"/>
  <c r="S6" i="109"/>
  <c r="O10" i="83"/>
  <c r="O9" i="83"/>
  <c r="AA5" i="83"/>
  <c r="X5" i="80"/>
  <c r="P6" i="80"/>
  <c r="Z7" i="77"/>
  <c r="W13" i="108"/>
  <c r="V8" i="69"/>
  <c r="W7" i="111"/>
  <c r="R7" i="111"/>
  <c r="T7" i="111"/>
  <c r="L29" i="104"/>
  <c r="S5" i="77"/>
  <c r="Y8" i="108"/>
  <c r="Q13" i="108"/>
  <c r="Z8" i="108"/>
  <c r="Q6" i="72"/>
  <c r="T7" i="72"/>
  <c r="O7" i="72"/>
  <c r="W8" i="89"/>
  <c r="S5" i="89"/>
  <c r="Z13" i="89"/>
  <c r="Y8" i="89"/>
  <c r="O6" i="109"/>
  <c r="P7" i="109"/>
  <c r="W8" i="109"/>
  <c r="L38" i="91"/>
  <c r="L29" i="91"/>
  <c r="L29" i="70"/>
  <c r="L39" i="88"/>
  <c r="Y5" i="80"/>
  <c r="Z13" i="80"/>
  <c r="P8" i="80"/>
  <c r="Q5" i="108"/>
  <c r="O7" i="111"/>
  <c r="S6" i="69"/>
  <c r="V7" i="111"/>
  <c r="L36" i="68"/>
  <c r="Q9" i="65"/>
  <c r="P6" i="77"/>
  <c r="T5" i="77"/>
  <c r="R7" i="77"/>
  <c r="V6" i="108"/>
  <c r="R13" i="108"/>
  <c r="W13" i="72"/>
  <c r="X6" i="72"/>
  <c r="Y8" i="72"/>
  <c r="Z8" i="89"/>
  <c r="P13" i="89"/>
  <c r="R5" i="89"/>
  <c r="U13" i="109"/>
  <c r="Y5" i="109"/>
  <c r="AA8" i="83"/>
  <c r="AA14" i="93"/>
  <c r="AA5" i="92"/>
  <c r="O10" i="92"/>
  <c r="O9" i="92"/>
  <c r="O6" i="80"/>
  <c r="V8" i="80"/>
  <c r="Q6" i="80"/>
  <c r="L33" i="70"/>
  <c r="T7" i="95"/>
  <c r="P7" i="95"/>
  <c r="Z13" i="95"/>
  <c r="S7" i="95"/>
  <c r="Z8" i="95"/>
  <c r="Y8" i="95"/>
  <c r="Z5" i="95"/>
  <c r="X8" i="95"/>
  <c r="V8" i="95"/>
  <c r="R7" i="95"/>
  <c r="W5" i="95"/>
  <c r="Q7" i="95"/>
  <c r="Y5" i="95"/>
  <c r="AA13" i="95"/>
  <c r="W8" i="95"/>
  <c r="O7" i="95"/>
  <c r="X5" i="95"/>
  <c r="X13" i="95"/>
  <c r="T8" i="95"/>
  <c r="U5" i="95"/>
  <c r="X6" i="95"/>
  <c r="T6" i="95"/>
  <c r="W13" i="95"/>
  <c r="S8" i="95"/>
  <c r="T5" i="95"/>
  <c r="P8" i="95"/>
  <c r="V13" i="95"/>
  <c r="R8" i="95"/>
  <c r="Z6" i="95"/>
  <c r="S5" i="95"/>
  <c r="U13" i="95"/>
  <c r="Q8" i="95"/>
  <c r="Y6" i="95"/>
  <c r="R5" i="95"/>
  <c r="T13" i="95"/>
  <c r="Q5" i="95"/>
  <c r="S13" i="95"/>
  <c r="O8" i="95"/>
  <c r="W6" i="95"/>
  <c r="P5" i="95"/>
  <c r="R13" i="95"/>
  <c r="V6" i="95"/>
  <c r="O5" i="95"/>
  <c r="Q13" i="95"/>
  <c r="U6" i="95"/>
  <c r="P13" i="95"/>
  <c r="P6" i="95"/>
  <c r="O6" i="95"/>
  <c r="S6" i="95"/>
  <c r="R6" i="95"/>
  <c r="V7" i="95"/>
  <c r="W7" i="95"/>
  <c r="V5" i="95"/>
  <c r="U8" i="95"/>
  <c r="Z7" i="95"/>
  <c r="X7" i="95"/>
  <c r="Q6" i="95"/>
  <c r="Y13" i="95"/>
  <c r="Y7" i="95"/>
  <c r="O13" i="95"/>
  <c r="U7" i="95"/>
  <c r="L32" i="70"/>
  <c r="W6" i="72"/>
  <c r="W5" i="69"/>
  <c r="AA12" i="92"/>
  <c r="U6" i="69"/>
  <c r="W7" i="73"/>
  <c r="O6" i="73"/>
  <c r="V13" i="73"/>
  <c r="R8" i="73"/>
  <c r="Z6" i="73"/>
  <c r="S5" i="73"/>
  <c r="U13" i="73"/>
  <c r="S6" i="73"/>
  <c r="Y8" i="73"/>
  <c r="O7" i="73"/>
  <c r="V5" i="73"/>
  <c r="O8" i="73"/>
  <c r="R6" i="73"/>
  <c r="O13" i="73"/>
  <c r="R7" i="73"/>
  <c r="W5" i="73"/>
  <c r="T8" i="73"/>
  <c r="U6" i="73"/>
  <c r="T13" i="73"/>
  <c r="S7" i="73"/>
  <c r="T5" i="73"/>
  <c r="R13" i="73"/>
  <c r="P7" i="73"/>
  <c r="Q5" i="73"/>
  <c r="Y13" i="73"/>
  <c r="Z5" i="73"/>
  <c r="Y6" i="73"/>
  <c r="P8" i="73"/>
  <c r="Z7" i="73"/>
  <c r="X5" i="73"/>
  <c r="Z8" i="73"/>
  <c r="X8" i="73"/>
  <c r="AA13" i="73"/>
  <c r="W8" i="73"/>
  <c r="Q7" i="73"/>
  <c r="S13" i="73"/>
  <c r="V7" i="73"/>
  <c r="Q13" i="73"/>
  <c r="U7" i="73"/>
  <c r="P13" i="73"/>
  <c r="T7" i="73"/>
  <c r="T6" i="73"/>
  <c r="Q6" i="73"/>
  <c r="P6" i="73"/>
  <c r="Y5" i="73"/>
  <c r="V8" i="73"/>
  <c r="U8" i="73"/>
  <c r="S8" i="73"/>
  <c r="X7" i="73"/>
  <c r="X6" i="73"/>
  <c r="X13" i="73"/>
  <c r="V6" i="73"/>
  <c r="W13" i="73"/>
  <c r="Y7" i="73"/>
  <c r="P5" i="73"/>
  <c r="O5" i="73"/>
  <c r="Z13" i="73"/>
  <c r="Q8" i="73"/>
  <c r="W6" i="73"/>
  <c r="U5" i="73"/>
  <c r="R5" i="73"/>
  <c r="Q13" i="77"/>
  <c r="O13" i="77"/>
  <c r="S6" i="77"/>
  <c r="Y7" i="108"/>
  <c r="P8" i="108"/>
  <c r="X7" i="108"/>
  <c r="Y13" i="72"/>
  <c r="Q13" i="72"/>
  <c r="S6" i="72"/>
  <c r="Y8" i="86"/>
  <c r="Q7" i="86"/>
  <c r="Z5" i="86"/>
  <c r="X8" i="86"/>
  <c r="P7" i="86"/>
  <c r="Y5" i="86"/>
  <c r="P13" i="86"/>
  <c r="T6" i="86"/>
  <c r="Z7" i="86"/>
  <c r="R6" i="86"/>
  <c r="O7" i="86"/>
  <c r="T5" i="86"/>
  <c r="S5" i="86"/>
  <c r="X13" i="86"/>
  <c r="P6" i="86"/>
  <c r="W13" i="86"/>
  <c r="O6" i="86"/>
  <c r="Y7" i="86"/>
  <c r="X5" i="86"/>
  <c r="AA13" i="86"/>
  <c r="X7" i="86"/>
  <c r="W5" i="86"/>
  <c r="U8" i="86"/>
  <c r="X6" i="86"/>
  <c r="V13" i="86"/>
  <c r="U13" i="86"/>
  <c r="Z6" i="86"/>
  <c r="T13" i="86"/>
  <c r="Y6" i="86"/>
  <c r="R8" i="86"/>
  <c r="W6" i="86"/>
  <c r="V6" i="86"/>
  <c r="O13" i="86"/>
  <c r="S8" i="86"/>
  <c r="Q8" i="86"/>
  <c r="V5" i="86"/>
  <c r="P8" i="86"/>
  <c r="U5" i="86"/>
  <c r="O8" i="86"/>
  <c r="R5" i="86"/>
  <c r="P5" i="86"/>
  <c r="O5" i="86"/>
  <c r="U6" i="86"/>
  <c r="Q5" i="86"/>
  <c r="S6" i="86"/>
  <c r="Q6" i="86"/>
  <c r="Z8" i="86"/>
  <c r="W8" i="86"/>
  <c r="Y13" i="86"/>
  <c r="V8" i="86"/>
  <c r="Z13" i="86"/>
  <c r="T8" i="86"/>
  <c r="S13" i="86"/>
  <c r="W7" i="86"/>
  <c r="R13" i="86"/>
  <c r="Q13" i="86"/>
  <c r="R7" i="86"/>
  <c r="V7" i="86"/>
  <c r="U7" i="86"/>
  <c r="T7" i="86"/>
  <c r="S7" i="86"/>
  <c r="W7" i="89"/>
  <c r="T5" i="89"/>
  <c r="T7" i="89"/>
  <c r="P6" i="109"/>
  <c r="Q7" i="109"/>
  <c r="W7" i="109"/>
  <c r="R9" i="83"/>
  <c r="P9" i="83"/>
  <c r="Q9" i="93"/>
  <c r="Z6" i="80"/>
  <c r="Z5" i="80"/>
  <c r="R8" i="80"/>
  <c r="R6" i="69"/>
  <c r="L31" i="70"/>
  <c r="S7" i="111"/>
  <c r="Q6" i="69"/>
  <c r="L31" i="68"/>
  <c r="W7" i="69"/>
  <c r="W8" i="111"/>
  <c r="U7" i="72"/>
  <c r="V13" i="72"/>
  <c r="W5" i="89"/>
  <c r="O8" i="89"/>
  <c r="AA13" i="89"/>
  <c r="V13" i="109"/>
  <c r="V5" i="109"/>
  <c r="W13" i="109"/>
  <c r="T7" i="99"/>
  <c r="Y17" i="99"/>
  <c r="V16" i="63" s="1"/>
  <c r="Z5" i="99"/>
  <c r="AA17" i="99"/>
  <c r="S7" i="99"/>
  <c r="Z17" i="99"/>
  <c r="W16" i="63" s="1"/>
  <c r="Z8" i="99"/>
  <c r="Y8" i="99"/>
  <c r="Q7" i="99"/>
  <c r="P7" i="99"/>
  <c r="O7" i="99"/>
  <c r="R7" i="99"/>
  <c r="X17" i="99"/>
  <c r="U16" i="63" s="1"/>
  <c r="W17" i="99"/>
  <c r="T16" i="63" s="1"/>
  <c r="X8" i="99"/>
  <c r="W8" i="99"/>
  <c r="Y5" i="99"/>
  <c r="X5" i="99"/>
  <c r="T17" i="99"/>
  <c r="Q16" i="63" s="1"/>
  <c r="T8" i="99"/>
  <c r="U5" i="99"/>
  <c r="Y6" i="99"/>
  <c r="P17" i="99"/>
  <c r="M16" i="63" s="1"/>
  <c r="X6" i="99"/>
  <c r="S17" i="99"/>
  <c r="P16" i="63" s="1"/>
  <c r="S8" i="99"/>
  <c r="T5" i="99"/>
  <c r="R17" i="99"/>
  <c r="O16" i="63" s="1"/>
  <c r="R8" i="99"/>
  <c r="Z6" i="99"/>
  <c r="S5" i="99"/>
  <c r="P8" i="99"/>
  <c r="Q17" i="99"/>
  <c r="N16" i="63" s="1"/>
  <c r="Q8" i="99"/>
  <c r="R5" i="99"/>
  <c r="Q5" i="99"/>
  <c r="O17" i="99"/>
  <c r="L16" i="63" s="1"/>
  <c r="O8" i="99"/>
  <c r="W6" i="99"/>
  <c r="P5" i="99"/>
  <c r="U6" i="99"/>
  <c r="V6" i="99"/>
  <c r="O5" i="99"/>
  <c r="R6" i="99"/>
  <c r="O6" i="99"/>
  <c r="W7" i="99"/>
  <c r="Q6" i="99"/>
  <c r="P6" i="99"/>
  <c r="U17" i="99"/>
  <c r="R16" i="63" s="1"/>
  <c r="W5" i="99"/>
  <c r="V8" i="99"/>
  <c r="V5" i="99"/>
  <c r="U8" i="99"/>
  <c r="U7" i="99"/>
  <c r="V17" i="99"/>
  <c r="S16" i="63" s="1"/>
  <c r="V7" i="99"/>
  <c r="Z7" i="99"/>
  <c r="X7" i="99"/>
  <c r="T6" i="99"/>
  <c r="S6" i="99"/>
  <c r="Y7" i="99"/>
  <c r="R6" i="80"/>
  <c r="AA7" i="92"/>
  <c r="Q7" i="77"/>
  <c r="V13" i="108"/>
  <c r="P13" i="109"/>
  <c r="AA6" i="93"/>
  <c r="L38" i="76"/>
  <c r="L32" i="76"/>
  <c r="L30" i="76"/>
  <c r="L36" i="76"/>
  <c r="L34" i="76"/>
  <c r="L41" i="76"/>
  <c r="L37" i="76"/>
  <c r="Y8" i="69"/>
  <c r="P5" i="69"/>
  <c r="P13" i="111"/>
  <c r="R5" i="69"/>
  <c r="Z7" i="111"/>
  <c r="R6" i="111"/>
  <c r="L41" i="104"/>
  <c r="L32" i="104"/>
  <c r="L36" i="104"/>
  <c r="L31" i="104"/>
  <c r="L38" i="104"/>
  <c r="L30" i="104"/>
  <c r="W6" i="69"/>
  <c r="L36" i="70"/>
  <c r="T13" i="111"/>
  <c r="U7" i="111"/>
  <c r="L32" i="68"/>
  <c r="Y9" i="92"/>
  <c r="Z9" i="65"/>
  <c r="W9" i="92"/>
  <c r="U9" i="92"/>
  <c r="Q6" i="77"/>
  <c r="V5" i="77"/>
  <c r="Y13" i="77"/>
  <c r="S13" i="108"/>
  <c r="AA13" i="108"/>
  <c r="L34" i="104"/>
  <c r="S5" i="69"/>
  <c r="O8" i="111"/>
  <c r="R13" i="77"/>
  <c r="P13" i="77"/>
  <c r="T8" i="108"/>
  <c r="X5" i="108"/>
  <c r="Z7" i="108"/>
  <c r="P8" i="72"/>
  <c r="U13" i="72"/>
  <c r="X5" i="89"/>
  <c r="Q13" i="89"/>
  <c r="P6" i="89"/>
  <c r="T7" i="109"/>
  <c r="R8" i="109"/>
  <c r="Q9" i="83"/>
  <c r="AA12" i="93"/>
  <c r="S6" i="80"/>
  <c r="T8" i="80"/>
  <c r="L35" i="91"/>
  <c r="Y9" i="93"/>
  <c r="AA6" i="83"/>
  <c r="P6" i="69"/>
  <c r="X6" i="111"/>
  <c r="AA8" i="92"/>
  <c r="L32" i="88"/>
  <c r="S7" i="69"/>
  <c r="X7" i="69"/>
  <c r="P5" i="111"/>
  <c r="S6" i="111"/>
  <c r="L38" i="68"/>
  <c r="R6" i="77"/>
  <c r="P8" i="77"/>
  <c r="V8" i="108"/>
  <c r="O8" i="108"/>
  <c r="R5" i="72"/>
  <c r="P13" i="96"/>
  <c r="T6" i="96"/>
  <c r="O13" i="96"/>
  <c r="S6" i="96"/>
  <c r="R6" i="96"/>
  <c r="Y7" i="96"/>
  <c r="P6" i="96"/>
  <c r="W7" i="96"/>
  <c r="V7" i="96"/>
  <c r="Z7" i="96"/>
  <c r="Q6" i="96"/>
  <c r="X7" i="96"/>
  <c r="O6" i="96"/>
  <c r="T7" i="96"/>
  <c r="X8" i="96"/>
  <c r="Y5" i="96"/>
  <c r="S7" i="96"/>
  <c r="P7" i="96"/>
  <c r="Z8" i="96"/>
  <c r="R7" i="96"/>
  <c r="Y8" i="96"/>
  <c r="Q7" i="96"/>
  <c r="Z5" i="96"/>
  <c r="AA13" i="96"/>
  <c r="W8" i="96"/>
  <c r="O7" i="96"/>
  <c r="X5" i="96"/>
  <c r="V5" i="96"/>
  <c r="Z13" i="96"/>
  <c r="V8" i="96"/>
  <c r="W5" i="96"/>
  <c r="Y13" i="96"/>
  <c r="U8" i="96"/>
  <c r="T13" i="96"/>
  <c r="U7" i="96"/>
  <c r="Y6" i="96"/>
  <c r="S5" i="96"/>
  <c r="O8" i="96"/>
  <c r="S13" i="96"/>
  <c r="Q13" i="96"/>
  <c r="T5" i="96"/>
  <c r="Q5" i="96"/>
  <c r="V13" i="96"/>
  <c r="R13" i="96"/>
  <c r="R8" i="96"/>
  <c r="P8" i="96"/>
  <c r="Z6" i="96"/>
  <c r="X13" i="96"/>
  <c r="W13" i="96"/>
  <c r="X6" i="96"/>
  <c r="W6" i="96"/>
  <c r="V6" i="96"/>
  <c r="U6" i="96"/>
  <c r="P5" i="96"/>
  <c r="Q8" i="96"/>
  <c r="U13" i="96"/>
  <c r="S8" i="96"/>
  <c r="U5" i="96"/>
  <c r="T8" i="96"/>
  <c r="R5" i="96"/>
  <c r="V8" i="89"/>
  <c r="X7" i="89"/>
  <c r="X5" i="109"/>
  <c r="V9" i="83"/>
  <c r="U6" i="80"/>
  <c r="N3" i="98"/>
  <c r="R8" i="100" l="1"/>
  <c r="O6" i="100"/>
  <c r="X7" i="100"/>
  <c r="O7" i="100"/>
  <c r="W6" i="100"/>
  <c r="X6" i="100"/>
  <c r="Z8" i="100"/>
  <c r="T5" i="100"/>
  <c r="S8" i="100"/>
  <c r="U6" i="100"/>
  <c r="T7" i="100"/>
  <c r="Y6" i="100"/>
  <c r="Y7" i="100"/>
  <c r="T8" i="100"/>
  <c r="W5" i="100"/>
  <c r="U7" i="100"/>
  <c r="Q7" i="100"/>
  <c r="V8" i="100"/>
  <c r="S6" i="100"/>
  <c r="Q6" i="100"/>
  <c r="V5" i="100"/>
  <c r="V7" i="100"/>
  <c r="R5" i="100"/>
  <c r="X8" i="100"/>
  <c r="S5" i="100"/>
  <c r="Y5" i="100"/>
  <c r="Z5" i="100"/>
  <c r="Q5" i="100"/>
  <c r="P8" i="100"/>
  <c r="W7" i="100"/>
  <c r="X5" i="100"/>
  <c r="Z6" i="100"/>
  <c r="P7" i="100"/>
  <c r="Q8" i="100"/>
  <c r="O14" i="111"/>
  <c r="AA12" i="111" s="1"/>
  <c r="O14" i="90"/>
  <c r="AA12" i="90" s="1"/>
  <c r="O14" i="86"/>
  <c r="AA12" i="86" s="1"/>
  <c r="O14" i="107"/>
  <c r="AA12" i="107" s="1"/>
  <c r="O14" i="89"/>
  <c r="AA12" i="89" s="1"/>
  <c r="O14" i="95"/>
  <c r="AA12" i="95" s="1"/>
  <c r="O14" i="80"/>
  <c r="AA12" i="80" s="1"/>
  <c r="O14" i="106"/>
  <c r="AA12" i="106" s="1"/>
  <c r="O14" i="108"/>
  <c r="AA12" i="108" s="1"/>
  <c r="O14" i="77"/>
  <c r="AA12" i="77" s="1"/>
  <c r="O14" i="73"/>
  <c r="AA12" i="73" s="1"/>
  <c r="O14" i="110"/>
  <c r="AA12" i="110" s="1"/>
  <c r="O14" i="84"/>
  <c r="AA12" i="84" s="1"/>
  <c r="O14" i="109"/>
  <c r="AA12" i="109" s="1"/>
  <c r="O10" i="99"/>
  <c r="O14" i="79"/>
  <c r="AA12" i="79" s="1"/>
  <c r="O10" i="102"/>
  <c r="O14" i="72"/>
  <c r="AA12" i="72" s="1"/>
  <c r="O14" i="67"/>
  <c r="AA12" i="67" s="1"/>
  <c r="O14" i="82"/>
  <c r="AA12" i="82" s="1"/>
  <c r="L19" i="78"/>
  <c r="Y13" i="78" s="1"/>
  <c r="O14" i="75"/>
  <c r="AA12" i="75" s="1"/>
  <c r="O14" i="85"/>
  <c r="AA12" i="85" s="1"/>
  <c r="P5" i="100"/>
  <c r="Y8" i="100"/>
  <c r="R6" i="100"/>
  <c r="T6" i="100"/>
  <c r="R7" i="100"/>
  <c r="O8" i="100"/>
  <c r="O5" i="100"/>
  <c r="V6" i="100"/>
  <c r="Z7" i="100"/>
  <c r="P6" i="100"/>
  <c r="U5" i="100"/>
  <c r="W8" i="100"/>
  <c r="S7" i="100"/>
  <c r="Y5" i="87"/>
  <c r="V6" i="87"/>
  <c r="S7" i="87"/>
  <c r="W8" i="87"/>
  <c r="Q8" i="87"/>
  <c r="O6" i="87"/>
  <c r="V5" i="87"/>
  <c r="Y8" i="87"/>
  <c r="P6" i="87"/>
  <c r="Q7" i="87"/>
  <c r="W6" i="87"/>
  <c r="T5" i="87"/>
  <c r="V7" i="87"/>
  <c r="O5" i="87"/>
  <c r="R7" i="87"/>
  <c r="R6" i="87"/>
  <c r="U5" i="87"/>
  <c r="Q5" i="87"/>
  <c r="U7" i="87"/>
  <c r="Q6" i="87"/>
  <c r="T8" i="87"/>
  <c r="W7" i="87"/>
  <c r="Z8" i="87"/>
  <c r="X8" i="87"/>
  <c r="S8" i="87"/>
  <c r="Z6" i="87"/>
  <c r="A49" i="87"/>
  <c r="S6" i="87"/>
  <c r="R8" i="87"/>
  <c r="X6" i="87"/>
  <c r="T6" i="87"/>
  <c r="X7" i="87"/>
  <c r="X5" i="87"/>
  <c r="Y6" i="87"/>
  <c r="V8" i="87"/>
  <c r="R5" i="87"/>
  <c r="U8" i="87"/>
  <c r="S5" i="87"/>
  <c r="P5" i="87"/>
  <c r="P7" i="87"/>
  <c r="O7" i="87"/>
  <c r="Z7" i="87"/>
  <c r="U6" i="87"/>
  <c r="T7" i="87"/>
  <c r="W5" i="87"/>
  <c r="Y7" i="87"/>
  <c r="P8" i="87"/>
  <c r="Z5" i="87"/>
  <c r="V5" i="97"/>
  <c r="AB5" i="97"/>
  <c r="AB7" i="97"/>
  <c r="S7" i="97"/>
  <c r="T5" i="97"/>
  <c r="T6" i="97"/>
  <c r="T8" i="97"/>
  <c r="Z7" i="97"/>
  <c r="AA5" i="97"/>
  <c r="Q6" i="97"/>
  <c r="Q8" i="97"/>
  <c r="Z8" i="97"/>
  <c r="R6" i="97"/>
  <c r="AA6" i="97"/>
  <c r="R8" i="97"/>
  <c r="AB6" i="97"/>
  <c r="S6" i="97"/>
  <c r="S5" i="97"/>
  <c r="S8" i="97"/>
  <c r="T7" i="97"/>
  <c r="U6" i="97"/>
  <c r="V6" i="97"/>
  <c r="W7" i="97"/>
  <c r="W6" i="97"/>
  <c r="V7" i="97"/>
  <c r="W5" i="97"/>
  <c r="X7" i="97"/>
  <c r="W8" i="97"/>
  <c r="AA8" i="97"/>
  <c r="X8" i="97"/>
  <c r="Z6" i="97"/>
  <c r="U8" i="97"/>
  <c r="Q5" i="97"/>
  <c r="AA7" i="97"/>
  <c r="R7" i="97"/>
  <c r="U5" i="97"/>
  <c r="R5" i="97"/>
  <c r="V8" i="97"/>
  <c r="U7" i="97"/>
  <c r="X6" i="97"/>
  <c r="X5" i="97"/>
  <c r="Y6" i="97"/>
  <c r="Y5" i="97"/>
  <c r="Y8" i="97"/>
  <c r="Y7" i="97"/>
  <c r="AB8" i="97"/>
  <c r="Q7" i="97"/>
  <c r="Z5" i="97"/>
  <c r="F59" i="97"/>
  <c r="P3" i="97"/>
  <c r="K41" i="38"/>
  <c r="O17" i="63"/>
  <c r="R17" i="63"/>
  <c r="R18" i="63"/>
  <c r="L17" i="63"/>
  <c r="U17" i="63"/>
  <c r="F60" i="97"/>
  <c r="T9" i="90"/>
  <c r="W9" i="90"/>
  <c r="X9" i="109"/>
  <c r="Y9" i="90"/>
  <c r="S9" i="90"/>
  <c r="R13" i="91"/>
  <c r="AA14" i="90"/>
  <c r="L11" i="81"/>
  <c r="L12" i="81"/>
  <c r="L18" i="81"/>
  <c r="AA8" i="106"/>
  <c r="X9" i="90"/>
  <c r="Q9" i="90"/>
  <c r="L19" i="81"/>
  <c r="Z9" i="90"/>
  <c r="AA5" i="96"/>
  <c r="L14" i="81"/>
  <c r="AA6" i="90"/>
  <c r="AA5" i="90"/>
  <c r="AA7" i="90"/>
  <c r="P9" i="90"/>
  <c r="V9" i="90"/>
  <c r="O9" i="90"/>
  <c r="AA8" i="90"/>
  <c r="U9" i="90"/>
  <c r="Q68" i="97"/>
  <c r="L19" i="68"/>
  <c r="L15" i="81"/>
  <c r="R9" i="90"/>
  <c r="Q13" i="94"/>
  <c r="L13" i="68"/>
  <c r="L17" i="81"/>
  <c r="L10" i="81"/>
  <c r="AA10" i="83"/>
  <c r="N10" i="83" s="1"/>
  <c r="N4" i="83" s="1"/>
  <c r="O11" i="83" s="1"/>
  <c r="L4" i="74"/>
  <c r="L6" i="74"/>
  <c r="L18" i="68"/>
  <c r="Z6" i="91"/>
  <c r="AA10" i="92"/>
  <c r="N10" i="92" s="1"/>
  <c r="N4" i="92" s="1"/>
  <c r="O11" i="92" s="1"/>
  <c r="Q9" i="85"/>
  <c r="AA10" i="65"/>
  <c r="N10" i="65" s="1"/>
  <c r="N4" i="65" s="1"/>
  <c r="O11" i="65" s="1"/>
  <c r="O18" i="102"/>
  <c r="AA16" i="102" s="1"/>
  <c r="Q9" i="108"/>
  <c r="B49" i="87"/>
  <c r="I17" i="38"/>
  <c r="K17" i="38" s="1"/>
  <c r="AA10" i="93"/>
  <c r="N10" i="93" s="1"/>
  <c r="N4" i="93" s="1"/>
  <c r="O11" i="93" s="1"/>
  <c r="Z7" i="91"/>
  <c r="O10" i="90"/>
  <c r="L13" i="81"/>
  <c r="O18" i="99"/>
  <c r="AA16" i="99" s="1"/>
  <c r="L15" i="68"/>
  <c r="L16" i="81"/>
  <c r="P9" i="111"/>
  <c r="V9" i="79"/>
  <c r="R9" i="77"/>
  <c r="P9" i="72"/>
  <c r="AA6" i="109"/>
  <c r="W9" i="96"/>
  <c r="Q9" i="89"/>
  <c r="P9" i="110"/>
  <c r="V9" i="72"/>
  <c r="S9" i="110"/>
  <c r="AA7" i="86"/>
  <c r="X9" i="71"/>
  <c r="T9" i="107"/>
  <c r="Q9" i="72"/>
  <c r="X9" i="77"/>
  <c r="S9" i="111"/>
  <c r="T13" i="103"/>
  <c r="AA7" i="84"/>
  <c r="V13" i="91"/>
  <c r="W9" i="111"/>
  <c r="W9" i="108"/>
  <c r="Y6" i="76"/>
  <c r="X9" i="82"/>
  <c r="AA8" i="109"/>
  <c r="R17" i="103"/>
  <c r="W7" i="91"/>
  <c r="W8" i="91"/>
  <c r="T9" i="85"/>
  <c r="AA8" i="69"/>
  <c r="S9" i="69"/>
  <c r="V9" i="111"/>
  <c r="AA17" i="103"/>
  <c r="Z9" i="69"/>
  <c r="T9" i="84"/>
  <c r="S9" i="67"/>
  <c r="AA8" i="67"/>
  <c r="U9" i="80"/>
  <c r="Y9" i="75"/>
  <c r="T9" i="72"/>
  <c r="T7" i="70"/>
  <c r="V9" i="109"/>
  <c r="U9" i="69"/>
  <c r="T9" i="69"/>
  <c r="R9" i="86"/>
  <c r="R9" i="106"/>
  <c r="AA8" i="73"/>
  <c r="AA14" i="82"/>
  <c r="Z9" i="107"/>
  <c r="O8" i="70"/>
  <c r="V7" i="70"/>
  <c r="AA14" i="73"/>
  <c r="U9" i="82"/>
  <c r="Y9" i="80"/>
  <c r="AA14" i="89"/>
  <c r="S9" i="82"/>
  <c r="S9" i="75"/>
  <c r="R9" i="79"/>
  <c r="W9" i="73"/>
  <c r="Y9" i="82"/>
  <c r="T9" i="108"/>
  <c r="U9" i="72"/>
  <c r="S9" i="108"/>
  <c r="AA6" i="80"/>
  <c r="T9" i="75"/>
  <c r="Z9" i="75"/>
  <c r="Z9" i="77"/>
  <c r="S13" i="76"/>
  <c r="Q9" i="69"/>
  <c r="R8" i="70"/>
  <c r="W9" i="82"/>
  <c r="X8" i="91"/>
  <c r="V9" i="96"/>
  <c r="Y9" i="89"/>
  <c r="S9" i="72"/>
  <c r="W6" i="70"/>
  <c r="Y7" i="70"/>
  <c r="V9" i="84"/>
  <c r="S7" i="94"/>
  <c r="Z9" i="72"/>
  <c r="X9" i="108"/>
  <c r="S9" i="77"/>
  <c r="V6" i="104"/>
  <c r="R8" i="104"/>
  <c r="W13" i="103"/>
  <c r="P7" i="103"/>
  <c r="Q8" i="103"/>
  <c r="R6" i="103"/>
  <c r="Q7" i="103"/>
  <c r="S13" i="103"/>
  <c r="V9" i="102"/>
  <c r="AA8" i="102"/>
  <c r="Y9" i="102"/>
  <c r="Z9" i="102"/>
  <c r="AA7" i="99"/>
  <c r="S9" i="99"/>
  <c r="W9" i="99"/>
  <c r="T9" i="99"/>
  <c r="U9" i="99"/>
  <c r="O5" i="94"/>
  <c r="O6" i="70"/>
  <c r="AA17" i="104"/>
  <c r="U9" i="102"/>
  <c r="U6" i="103"/>
  <c r="Z13" i="104"/>
  <c r="Y13" i="91"/>
  <c r="O9" i="96"/>
  <c r="O10" i="96"/>
  <c r="AA6" i="96"/>
  <c r="R13" i="76"/>
  <c r="R9" i="69"/>
  <c r="V9" i="99"/>
  <c r="V9" i="86"/>
  <c r="W9" i="69"/>
  <c r="R8" i="103"/>
  <c r="P17" i="103"/>
  <c r="T9" i="82"/>
  <c r="U13" i="103"/>
  <c r="T8" i="70"/>
  <c r="Z9" i="84"/>
  <c r="U8" i="91"/>
  <c r="U6" i="91"/>
  <c r="V13" i="94"/>
  <c r="U9" i="111"/>
  <c r="U9" i="67"/>
  <c r="S9" i="106"/>
  <c r="P9" i="75"/>
  <c r="AA13" i="94"/>
  <c r="Y9" i="85"/>
  <c r="O8" i="76"/>
  <c r="AA13" i="103"/>
  <c r="T7" i="76"/>
  <c r="T5" i="76"/>
  <c r="P7" i="76"/>
  <c r="V13" i="76"/>
  <c r="O13" i="76"/>
  <c r="V7" i="76"/>
  <c r="S5" i="76"/>
  <c r="X5" i="76"/>
  <c r="W5" i="76"/>
  <c r="R7" i="76"/>
  <c r="P6" i="76"/>
  <c r="Y5" i="76"/>
  <c r="X6" i="76"/>
  <c r="W13" i="76"/>
  <c r="Q13" i="76"/>
  <c r="Z8" i="76"/>
  <c r="R8" i="76"/>
  <c r="O5" i="76"/>
  <c r="U13" i="76"/>
  <c r="P5" i="76"/>
  <c r="X9" i="110"/>
  <c r="AA6" i="110"/>
  <c r="W13" i="104"/>
  <c r="Z6" i="76"/>
  <c r="V7" i="104"/>
  <c r="V9" i="73"/>
  <c r="P9" i="95"/>
  <c r="R13" i="104"/>
  <c r="P7" i="104"/>
  <c r="X17" i="104"/>
  <c r="Q17" i="104"/>
  <c r="T13" i="104"/>
  <c r="W8" i="104"/>
  <c r="T5" i="104"/>
  <c r="T8" i="104"/>
  <c r="P17" i="104"/>
  <c r="S17" i="104"/>
  <c r="Q13" i="104"/>
  <c r="Y7" i="104"/>
  <c r="R7" i="104"/>
  <c r="W5" i="104"/>
  <c r="X13" i="104"/>
  <c r="T17" i="104"/>
  <c r="Q8" i="104"/>
  <c r="V13" i="104"/>
  <c r="Q6" i="104"/>
  <c r="W7" i="104"/>
  <c r="U5" i="104"/>
  <c r="Z17" i="103"/>
  <c r="V13" i="103"/>
  <c r="T5" i="70"/>
  <c r="Z8" i="91"/>
  <c r="O10" i="71"/>
  <c r="AA5" i="71"/>
  <c r="O9" i="71"/>
  <c r="AA6" i="71"/>
  <c r="S13" i="94"/>
  <c r="AA6" i="111"/>
  <c r="Y7" i="94"/>
  <c r="AA14" i="85"/>
  <c r="Z9" i="85"/>
  <c r="S9" i="85"/>
  <c r="O7" i="76"/>
  <c r="Z13" i="103"/>
  <c r="X9" i="111"/>
  <c r="Y9" i="77"/>
  <c r="S9" i="80"/>
  <c r="AA8" i="77"/>
  <c r="Z7" i="104"/>
  <c r="V9" i="80"/>
  <c r="Y8" i="94"/>
  <c r="Q7" i="104"/>
  <c r="Z13" i="94"/>
  <c r="V8" i="70"/>
  <c r="X9" i="73"/>
  <c r="AA7" i="73"/>
  <c r="U9" i="95"/>
  <c r="S9" i="89"/>
  <c r="X5" i="94"/>
  <c r="X5" i="103"/>
  <c r="AA5" i="108"/>
  <c r="O9" i="108"/>
  <c r="O10" i="108"/>
  <c r="AA8" i="71"/>
  <c r="AA6" i="69"/>
  <c r="V8" i="94"/>
  <c r="AA6" i="106"/>
  <c r="O9" i="106"/>
  <c r="O10" i="106"/>
  <c r="AA5" i="106"/>
  <c r="AA8" i="75"/>
  <c r="R5" i="91"/>
  <c r="AA14" i="109"/>
  <c r="P8" i="91"/>
  <c r="V8" i="104"/>
  <c r="Q9" i="77"/>
  <c r="X9" i="79"/>
  <c r="U17" i="104"/>
  <c r="AA14" i="107"/>
  <c r="AA8" i="110"/>
  <c r="AA7" i="80"/>
  <c r="Z5" i="103"/>
  <c r="Z7" i="70"/>
  <c r="X8" i="94"/>
  <c r="T9" i="86"/>
  <c r="N9" i="83"/>
  <c r="U9" i="84"/>
  <c r="O9" i="111"/>
  <c r="AA5" i="111"/>
  <c r="O10" i="111"/>
  <c r="AA7" i="71"/>
  <c r="AA14" i="67"/>
  <c r="V5" i="94"/>
  <c r="AA7" i="75"/>
  <c r="AA8" i="85"/>
  <c r="Z6" i="104"/>
  <c r="W13" i="91"/>
  <c r="Z9" i="109"/>
  <c r="S7" i="91"/>
  <c r="AA8" i="79"/>
  <c r="AA14" i="79"/>
  <c r="S9" i="109"/>
  <c r="N9" i="65"/>
  <c r="U9" i="110"/>
  <c r="R6" i="104"/>
  <c r="X9" i="96"/>
  <c r="P13" i="103"/>
  <c r="AA7" i="96"/>
  <c r="O13" i="104"/>
  <c r="W9" i="89"/>
  <c r="Q9" i="95"/>
  <c r="X9" i="95"/>
  <c r="T9" i="77"/>
  <c r="V5" i="70"/>
  <c r="S6" i="70"/>
  <c r="X6" i="70"/>
  <c r="W7" i="70"/>
  <c r="R7" i="70"/>
  <c r="Z5" i="70"/>
  <c r="U7" i="70"/>
  <c r="O7" i="70"/>
  <c r="P8" i="103"/>
  <c r="U5" i="70"/>
  <c r="W9" i="84"/>
  <c r="Y9" i="71"/>
  <c r="S9" i="71"/>
  <c r="X6" i="103"/>
  <c r="Y9" i="72"/>
  <c r="U9" i="85"/>
  <c r="W8" i="76"/>
  <c r="S6" i="91"/>
  <c r="P9" i="109"/>
  <c r="W9" i="77"/>
  <c r="T6" i="104"/>
  <c r="AA14" i="77"/>
  <c r="W9" i="80"/>
  <c r="Y5" i="91"/>
  <c r="S9" i="79"/>
  <c r="AA14" i="102"/>
  <c r="AA5" i="110"/>
  <c r="O9" i="110"/>
  <c r="O10" i="110"/>
  <c r="P9" i="77"/>
  <c r="AA8" i="89"/>
  <c r="X9" i="89"/>
  <c r="V5" i="91"/>
  <c r="S13" i="104"/>
  <c r="Y9" i="73"/>
  <c r="Z9" i="73"/>
  <c r="S9" i="73"/>
  <c r="AA7" i="95"/>
  <c r="AA7" i="82"/>
  <c r="Z9" i="111"/>
  <c r="S7" i="103"/>
  <c r="Y8" i="70"/>
  <c r="S9" i="84"/>
  <c r="T5" i="103"/>
  <c r="U13" i="104"/>
  <c r="X9" i="67"/>
  <c r="T9" i="67"/>
  <c r="Q8" i="91"/>
  <c r="V8" i="103"/>
  <c r="T6" i="70"/>
  <c r="U8" i="104"/>
  <c r="Y8" i="91"/>
  <c r="Y5" i="104"/>
  <c r="T9" i="79"/>
  <c r="X6" i="91"/>
  <c r="R9" i="102"/>
  <c r="V7" i="91"/>
  <c r="O9" i="107"/>
  <c r="AA5" i="107"/>
  <c r="O10" i="107"/>
  <c r="O7" i="91"/>
  <c r="V9" i="110"/>
  <c r="Y6" i="70"/>
  <c r="P8" i="94"/>
  <c r="AA5" i="72"/>
  <c r="O9" i="72"/>
  <c r="O10" i="72"/>
  <c r="T9" i="111"/>
  <c r="U7" i="104"/>
  <c r="V6" i="94"/>
  <c r="AA14" i="96"/>
  <c r="Q7" i="94"/>
  <c r="V9" i="77"/>
  <c r="Y8" i="104"/>
  <c r="Z8" i="104"/>
  <c r="AA6" i="99"/>
  <c r="R9" i="95"/>
  <c r="R9" i="89"/>
  <c r="AA8" i="82"/>
  <c r="R9" i="109"/>
  <c r="O13" i="103"/>
  <c r="S7" i="70"/>
  <c r="X9" i="84"/>
  <c r="Y5" i="94"/>
  <c r="Z9" i="71"/>
  <c r="U9" i="71"/>
  <c r="Z7" i="103"/>
  <c r="V9" i="69"/>
  <c r="U7" i="76"/>
  <c r="Z9" i="67"/>
  <c r="W9" i="67"/>
  <c r="W9" i="106"/>
  <c r="R13" i="103"/>
  <c r="U8" i="70"/>
  <c r="R9" i="85"/>
  <c r="O9" i="85"/>
  <c r="AA5" i="85"/>
  <c r="O10" i="85"/>
  <c r="V8" i="91"/>
  <c r="Y6" i="104"/>
  <c r="R7" i="91"/>
  <c r="AA6" i="107"/>
  <c r="W9" i="110"/>
  <c r="P7" i="70"/>
  <c r="AA13" i="76"/>
  <c r="T7" i="104"/>
  <c r="Q9" i="73"/>
  <c r="AA14" i="95"/>
  <c r="Z9" i="89"/>
  <c r="AA6" i="84"/>
  <c r="P9" i="71"/>
  <c r="V9" i="108"/>
  <c r="V9" i="67"/>
  <c r="P6" i="70"/>
  <c r="Q6" i="94"/>
  <c r="O6" i="103"/>
  <c r="X8" i="104"/>
  <c r="AA7" i="85"/>
  <c r="O5" i="104"/>
  <c r="R9" i="111"/>
  <c r="W7" i="76"/>
  <c r="U9" i="79"/>
  <c r="U9" i="77"/>
  <c r="O14" i="102"/>
  <c r="AA12" i="102" s="1"/>
  <c r="AA13" i="91"/>
  <c r="X7" i="91"/>
  <c r="P5" i="70"/>
  <c r="W9" i="109"/>
  <c r="Q5" i="91"/>
  <c r="AA7" i="79"/>
  <c r="T9" i="110"/>
  <c r="P9" i="69"/>
  <c r="Y7" i="76"/>
  <c r="P9" i="82"/>
  <c r="W6" i="91"/>
  <c r="R5" i="104"/>
  <c r="X9" i="72"/>
  <c r="P9" i="102"/>
  <c r="Q9" i="111"/>
  <c r="V5" i="103"/>
  <c r="S8" i="94"/>
  <c r="Y17" i="104"/>
  <c r="Z5" i="94"/>
  <c r="T9" i="89"/>
  <c r="R9" i="73"/>
  <c r="AA6" i="73"/>
  <c r="Y9" i="95"/>
  <c r="P7" i="91"/>
  <c r="AA7" i="72"/>
  <c r="S13" i="91"/>
  <c r="AA6" i="108"/>
  <c r="Q9" i="84"/>
  <c r="W9" i="71"/>
  <c r="Z17" i="104"/>
  <c r="W9" i="72"/>
  <c r="T17" i="103"/>
  <c r="R17" i="104"/>
  <c r="V9" i="85"/>
  <c r="P9" i="85"/>
  <c r="Q5" i="94"/>
  <c r="X8" i="76"/>
  <c r="T7" i="94"/>
  <c r="Z9" i="79"/>
  <c r="O9" i="102"/>
  <c r="AA5" i="102"/>
  <c r="Y9" i="111"/>
  <c r="U9" i="107"/>
  <c r="P6" i="103"/>
  <c r="V9" i="89"/>
  <c r="P6" i="104"/>
  <c r="AA5" i="99"/>
  <c r="O9" i="99"/>
  <c r="AA14" i="75"/>
  <c r="V8" i="76"/>
  <c r="T5" i="91"/>
  <c r="AA14" i="80"/>
  <c r="Q9" i="110"/>
  <c r="AA8" i="111"/>
  <c r="Q9" i="86"/>
  <c r="V9" i="95"/>
  <c r="Y9" i="67"/>
  <c r="Y17" i="103"/>
  <c r="Q7" i="76"/>
  <c r="P6" i="91"/>
  <c r="R9" i="107"/>
  <c r="Q9" i="96"/>
  <c r="U9" i="96"/>
  <c r="T9" i="96"/>
  <c r="O8" i="94"/>
  <c r="W6" i="76"/>
  <c r="U9" i="73"/>
  <c r="T9" i="73"/>
  <c r="S9" i="95"/>
  <c r="T13" i="91"/>
  <c r="U9" i="109"/>
  <c r="P9" i="84"/>
  <c r="V6" i="76"/>
  <c r="R9" i="108"/>
  <c r="X5" i="104"/>
  <c r="Q6" i="76"/>
  <c r="AA6" i="77"/>
  <c r="S8" i="91"/>
  <c r="Q9" i="79"/>
  <c r="W9" i="102"/>
  <c r="S9" i="102"/>
  <c r="AA6" i="102"/>
  <c r="Q8" i="94"/>
  <c r="Y9" i="107"/>
  <c r="Z13" i="91"/>
  <c r="AA6" i="89"/>
  <c r="S7" i="104"/>
  <c r="Q5" i="103"/>
  <c r="S8" i="76"/>
  <c r="Z9" i="99"/>
  <c r="Y9" i="86"/>
  <c r="P5" i="91"/>
  <c r="O6" i="91"/>
  <c r="Q13" i="91"/>
  <c r="O5" i="91"/>
  <c r="AA5" i="84"/>
  <c r="O10" i="84"/>
  <c r="O9" i="84"/>
  <c r="Z5" i="104"/>
  <c r="Y13" i="104"/>
  <c r="U9" i="108"/>
  <c r="O6" i="94"/>
  <c r="Q5" i="104"/>
  <c r="Y6" i="91"/>
  <c r="O9" i="86"/>
  <c r="AA5" i="86"/>
  <c r="O10" i="86"/>
  <c r="P13" i="91"/>
  <c r="W9" i="95"/>
  <c r="N9" i="93"/>
  <c r="Y7" i="91"/>
  <c r="T7" i="103"/>
  <c r="Z7" i="76"/>
  <c r="R9" i="67"/>
  <c r="P9" i="106"/>
  <c r="X6" i="104"/>
  <c r="V9" i="75"/>
  <c r="O17" i="104"/>
  <c r="Q9" i="109"/>
  <c r="AA6" i="85"/>
  <c r="T6" i="76"/>
  <c r="AA6" i="72"/>
  <c r="R13" i="94"/>
  <c r="T9" i="80"/>
  <c r="Q6" i="91"/>
  <c r="U6" i="70"/>
  <c r="AA8" i="107"/>
  <c r="X7" i="104"/>
  <c r="O10" i="77"/>
  <c r="AA5" i="77"/>
  <c r="O9" i="77"/>
  <c r="X13" i="76"/>
  <c r="O10" i="82"/>
  <c r="O9" i="82"/>
  <c r="AA5" i="82"/>
  <c r="O9" i="69"/>
  <c r="O10" i="69"/>
  <c r="AA5" i="69"/>
  <c r="Z9" i="86"/>
  <c r="Z8" i="94"/>
  <c r="Q6" i="103"/>
  <c r="Z9" i="82"/>
  <c r="V9" i="82"/>
  <c r="R9" i="82"/>
  <c r="AA14" i="111"/>
  <c r="AA14" i="84"/>
  <c r="P13" i="104"/>
  <c r="Z5" i="76"/>
  <c r="X9" i="106"/>
  <c r="Y9" i="108"/>
  <c r="V5" i="104"/>
  <c r="W9" i="75"/>
  <c r="U6" i="76"/>
  <c r="Z5" i="91"/>
  <c r="O13" i="91"/>
  <c r="Z7" i="94"/>
  <c r="U17" i="103"/>
  <c r="S8" i="70"/>
  <c r="X9" i="102"/>
  <c r="AA14" i="110"/>
  <c r="R9" i="110"/>
  <c r="U13" i="91"/>
  <c r="T8" i="94"/>
  <c r="W6" i="94"/>
  <c r="U5" i="94"/>
  <c r="Y6" i="94"/>
  <c r="X7" i="94"/>
  <c r="U7" i="94"/>
  <c r="T13" i="94"/>
  <c r="X13" i="94"/>
  <c r="X6" i="94"/>
  <c r="R8" i="94"/>
  <c r="W7" i="94"/>
  <c r="Y8" i="103"/>
  <c r="Z13" i="76"/>
  <c r="AA8" i="96"/>
  <c r="R5" i="76"/>
  <c r="O8" i="104"/>
  <c r="U5" i="76"/>
  <c r="AA7" i="89"/>
  <c r="Z9" i="108"/>
  <c r="AA7" i="109"/>
  <c r="P8" i="76"/>
  <c r="O10" i="75"/>
  <c r="AA5" i="75"/>
  <c r="O9" i="75"/>
  <c r="W9" i="85"/>
  <c r="Y8" i="76"/>
  <c r="P8" i="70"/>
  <c r="P5" i="94"/>
  <c r="Y6" i="103"/>
  <c r="R6" i="70"/>
  <c r="Q9" i="107"/>
  <c r="W8" i="103"/>
  <c r="AA8" i="84"/>
  <c r="R5" i="94"/>
  <c r="AA14" i="108"/>
  <c r="O13" i="94"/>
  <c r="O14" i="96"/>
  <c r="AA12" i="96" s="1"/>
  <c r="X8" i="70"/>
  <c r="O10" i="79"/>
  <c r="O9" i="79"/>
  <c r="AA5" i="79"/>
  <c r="U6" i="104"/>
  <c r="P9" i="99"/>
  <c r="Y5" i="70"/>
  <c r="R9" i="72"/>
  <c r="O5" i="70"/>
  <c r="P9" i="86"/>
  <c r="W5" i="94"/>
  <c r="X17" i="103"/>
  <c r="X9" i="80"/>
  <c r="S9" i="96"/>
  <c r="X5" i="91"/>
  <c r="AA8" i="99"/>
  <c r="W9" i="86"/>
  <c r="O9" i="73"/>
  <c r="AA5" i="73"/>
  <c r="O10" i="73"/>
  <c r="AA6" i="95"/>
  <c r="W7" i="103"/>
  <c r="S5" i="70"/>
  <c r="O7" i="94"/>
  <c r="AA8" i="80"/>
  <c r="Y9" i="84"/>
  <c r="R9" i="84"/>
  <c r="S5" i="104"/>
  <c r="S8" i="104"/>
  <c r="V9" i="71"/>
  <c r="X13" i="91"/>
  <c r="P5" i="103"/>
  <c r="AA7" i="106"/>
  <c r="U9" i="106"/>
  <c r="Q5" i="76"/>
  <c r="Q9" i="75"/>
  <c r="O6" i="104"/>
  <c r="U5" i="91"/>
  <c r="Z8" i="70"/>
  <c r="P13" i="94"/>
  <c r="Q8" i="70"/>
  <c r="V6" i="103"/>
  <c r="AA18" i="102"/>
  <c r="R6" i="91"/>
  <c r="X7" i="103"/>
  <c r="P9" i="96"/>
  <c r="R6" i="94"/>
  <c r="T8" i="76"/>
  <c r="V6" i="91"/>
  <c r="P9" i="67"/>
  <c r="V9" i="106"/>
  <c r="V5" i="76"/>
  <c r="T6" i="91"/>
  <c r="X9" i="85"/>
  <c r="Q9" i="80"/>
  <c r="V17" i="104"/>
  <c r="W9" i="79"/>
  <c r="AA14" i="72"/>
  <c r="S9" i="107"/>
  <c r="V9" i="107"/>
  <c r="Y9" i="110"/>
  <c r="AA7" i="110"/>
  <c r="X7" i="76"/>
  <c r="W13" i="94"/>
  <c r="AA18" i="99"/>
  <c r="R9" i="96"/>
  <c r="P7" i="94"/>
  <c r="Z9" i="95"/>
  <c r="Q9" i="82"/>
  <c r="S6" i="104"/>
  <c r="Q9" i="71"/>
  <c r="AA5" i="67"/>
  <c r="O9" i="67"/>
  <c r="O10" i="67"/>
  <c r="Q9" i="67"/>
  <c r="R9" i="75"/>
  <c r="U8" i="76"/>
  <c r="O17" i="103"/>
  <c r="Y13" i="76"/>
  <c r="V17" i="103"/>
  <c r="X9" i="69"/>
  <c r="W8" i="94"/>
  <c r="Z6" i="70"/>
  <c r="O6" i="76"/>
  <c r="AA7" i="108"/>
  <c r="S7" i="76"/>
  <c r="Y9" i="79"/>
  <c r="AA6" i="79"/>
  <c r="W8" i="70"/>
  <c r="AA5" i="109"/>
  <c r="AA8" i="95"/>
  <c r="T9" i="106"/>
  <c r="U8" i="94"/>
  <c r="Q5" i="70"/>
  <c r="P9" i="73"/>
  <c r="X9" i="99"/>
  <c r="AA14" i="86"/>
  <c r="P13" i="76"/>
  <c r="Y9" i="99"/>
  <c r="X9" i="86"/>
  <c r="P5" i="104"/>
  <c r="T9" i="95"/>
  <c r="S5" i="91"/>
  <c r="AA6" i="82"/>
  <c r="R9" i="71"/>
  <c r="U7" i="91"/>
  <c r="W5" i="91"/>
  <c r="AA7" i="67"/>
  <c r="Z9" i="106"/>
  <c r="P9" i="89"/>
  <c r="AA7" i="77"/>
  <c r="R5" i="103"/>
  <c r="Y13" i="94"/>
  <c r="S6" i="103"/>
  <c r="P9" i="108"/>
  <c r="Q7" i="70"/>
  <c r="Z9" i="110"/>
  <c r="O10" i="109"/>
  <c r="P9" i="107"/>
  <c r="Y9" i="109"/>
  <c r="X7" i="70"/>
  <c r="T9" i="109"/>
  <c r="R6" i="76"/>
  <c r="Z9" i="80"/>
  <c r="AA8" i="86"/>
  <c r="T6" i="103"/>
  <c r="Y9" i="96"/>
  <c r="O5" i="103"/>
  <c r="U9" i="86"/>
  <c r="W5" i="70"/>
  <c r="U13" i="94"/>
  <c r="AA14" i="106"/>
  <c r="Q9" i="106"/>
  <c r="T8" i="91"/>
  <c r="U9" i="75"/>
  <c r="R9" i="80"/>
  <c r="AA5" i="89"/>
  <c r="O10" i="89"/>
  <c r="O9" i="89"/>
  <c r="Y5" i="103"/>
  <c r="V7" i="94"/>
  <c r="Y9" i="69"/>
  <c r="Y13" i="103"/>
  <c r="R7" i="94"/>
  <c r="Q9" i="102"/>
  <c r="T9" i="102"/>
  <c r="Q6" i="70"/>
  <c r="X9" i="107"/>
  <c r="W9" i="107"/>
  <c r="U9" i="89"/>
  <c r="N9" i="92"/>
  <c r="AA8" i="72"/>
  <c r="O9" i="109"/>
  <c r="Q8" i="76"/>
  <c r="S6" i="94"/>
  <c r="S5" i="103"/>
  <c r="U5" i="103"/>
  <c r="O7" i="103"/>
  <c r="Z6" i="103"/>
  <c r="Z8" i="103"/>
  <c r="Q13" i="103"/>
  <c r="U7" i="103"/>
  <c r="Q17" i="103"/>
  <c r="W6" i="103"/>
  <c r="W17" i="103"/>
  <c r="U8" i="103"/>
  <c r="X8" i="103"/>
  <c r="S9" i="86"/>
  <c r="S5" i="94"/>
  <c r="Z9" i="96"/>
  <c r="Y9" i="106"/>
  <c r="T8" i="103"/>
  <c r="T13" i="76"/>
  <c r="R5" i="70"/>
  <c r="O8" i="103"/>
  <c r="Q9" i="99"/>
  <c r="W5" i="103"/>
  <c r="AA8" i="108"/>
  <c r="W17" i="104"/>
  <c r="T5" i="94"/>
  <c r="AA13" i="104"/>
  <c r="V7" i="103"/>
  <c r="O7" i="104"/>
  <c r="O8" i="91"/>
  <c r="P6" i="94"/>
  <c r="X13" i="103"/>
  <c r="W6" i="104"/>
  <c r="T6" i="94"/>
  <c r="U6" i="94"/>
  <c r="R9" i="99"/>
  <c r="AA6" i="86"/>
  <c r="AA5" i="95"/>
  <c r="O10" i="95"/>
  <c r="O9" i="95"/>
  <c r="S8" i="103"/>
  <c r="X5" i="70"/>
  <c r="AA7" i="111"/>
  <c r="T7" i="91"/>
  <c r="R7" i="103"/>
  <c r="T9" i="71"/>
  <c r="Z6" i="94"/>
  <c r="AA6" i="67"/>
  <c r="P9" i="80"/>
  <c r="R8" i="91"/>
  <c r="AA6" i="75"/>
  <c r="X9" i="75"/>
  <c r="O9" i="80"/>
  <c r="O10" i="80"/>
  <c r="AA5" i="80"/>
  <c r="P8" i="104"/>
  <c r="V6" i="70"/>
  <c r="S6" i="76"/>
  <c r="Y7" i="103"/>
  <c r="P9" i="79"/>
  <c r="AA7" i="102"/>
  <c r="S17" i="103"/>
  <c r="AA7" i="69"/>
  <c r="AA7" i="107"/>
  <c r="Q7" i="91"/>
  <c r="X9" i="100" l="1"/>
  <c r="T9" i="100"/>
  <c r="Q9" i="100"/>
  <c r="Y9" i="100"/>
  <c r="S9" i="100"/>
  <c r="W9" i="100"/>
  <c r="V9" i="100"/>
  <c r="Z9" i="100"/>
  <c r="Y6" i="78"/>
  <c r="V13" i="78"/>
  <c r="O5" i="78"/>
  <c r="U7" i="78"/>
  <c r="V8" i="78"/>
  <c r="P5" i="78"/>
  <c r="Z6" i="78"/>
  <c r="W6" i="78"/>
  <c r="S7" i="78"/>
  <c r="P13" i="78"/>
  <c r="U6" i="78"/>
  <c r="Y5" i="78"/>
  <c r="S6" i="78"/>
  <c r="Z13" i="78"/>
  <c r="Q13" i="78"/>
  <c r="R13" i="78"/>
  <c r="Y7" i="78"/>
  <c r="P6" i="78"/>
  <c r="Q7" i="78"/>
  <c r="P9" i="100"/>
  <c r="Q6" i="78"/>
  <c r="W13" i="78"/>
  <c r="V7" i="78"/>
  <c r="Z5" i="78"/>
  <c r="T5" i="78"/>
  <c r="R8" i="78"/>
  <c r="V5" i="78"/>
  <c r="U13" i="78"/>
  <c r="Y8" i="78"/>
  <c r="Q5" i="78"/>
  <c r="O7" i="78"/>
  <c r="X13" i="78"/>
  <c r="O14" i="91"/>
  <c r="AA12" i="91" s="1"/>
  <c r="T13" i="78"/>
  <c r="X6" i="78"/>
  <c r="W8" i="78"/>
  <c r="S13" i="78"/>
  <c r="AA13" i="78"/>
  <c r="W5" i="78"/>
  <c r="Z8" i="78"/>
  <c r="O8" i="78"/>
  <c r="P8" i="78"/>
  <c r="U8" i="78"/>
  <c r="P7" i="78"/>
  <c r="X8" i="78"/>
  <c r="X5" i="78"/>
  <c r="T6" i="78"/>
  <c r="V6" i="78"/>
  <c r="S5" i="78"/>
  <c r="T7" i="78"/>
  <c r="S8" i="78"/>
  <c r="X7" i="78"/>
  <c r="O13" i="78"/>
  <c r="T8" i="78"/>
  <c r="W7" i="78"/>
  <c r="Q8" i="78"/>
  <c r="R5" i="78"/>
  <c r="U5" i="78"/>
  <c r="Z7" i="78"/>
  <c r="R6" i="78"/>
  <c r="O14" i="94"/>
  <c r="AA12" i="94" s="1"/>
  <c r="O14" i="76"/>
  <c r="AA12" i="76" s="1"/>
  <c r="R7" i="78"/>
  <c r="O6" i="78"/>
  <c r="AA5" i="100"/>
  <c r="O10" i="104"/>
  <c r="R9" i="100"/>
  <c r="O9" i="100"/>
  <c r="U9" i="100"/>
  <c r="AA7" i="100"/>
  <c r="O10" i="103"/>
  <c r="AA8" i="100"/>
  <c r="AA6" i="100"/>
  <c r="V9" i="87"/>
  <c r="O10" i="100"/>
  <c r="O9" i="87"/>
  <c r="X9" i="87"/>
  <c r="AA6" i="87"/>
  <c r="R9" i="87"/>
  <c r="Z9" i="87"/>
  <c r="U9" i="87"/>
  <c r="A48" i="87"/>
  <c r="B47" i="87" s="1"/>
  <c r="T9" i="87"/>
  <c r="L39" i="98"/>
  <c r="L40" i="98"/>
  <c r="L45" i="98"/>
  <c r="L46" i="98"/>
  <c r="AA8" i="87"/>
  <c r="W9" i="87"/>
  <c r="S9" i="87"/>
  <c r="Y9" i="87"/>
  <c r="P9" i="87"/>
  <c r="Q9" i="87"/>
  <c r="AA7" i="87"/>
  <c r="AA5" i="87"/>
  <c r="O10" i="87"/>
  <c r="N10" i="87" s="1"/>
  <c r="O11" i="87" s="1"/>
  <c r="L23" i="98"/>
  <c r="L31" i="98"/>
  <c r="L38" i="98"/>
  <c r="L24" i="98"/>
  <c r="L32" i="98"/>
  <c r="L25" i="98"/>
  <c r="L33" i="98"/>
  <c r="L41" i="98"/>
  <c r="L26" i="98"/>
  <c r="L34" i="98"/>
  <c r="L42" i="98"/>
  <c r="L27" i="98"/>
  <c r="L35" i="98"/>
  <c r="L43" i="98"/>
  <c r="L28" i="98"/>
  <c r="L36" i="98"/>
  <c r="L44" i="98"/>
  <c r="L29" i="98"/>
  <c r="L37" i="98"/>
  <c r="L30" i="98"/>
  <c r="S9" i="97"/>
  <c r="U9" i="97"/>
  <c r="AB9" i="97"/>
  <c r="Y9" i="97"/>
  <c r="R9" i="97"/>
  <c r="V9" i="97"/>
  <c r="W9" i="97"/>
  <c r="AA9" i="97"/>
  <c r="Z9" i="97"/>
  <c r="AC8" i="97"/>
  <c r="AC6" i="97"/>
  <c r="X9" i="97"/>
  <c r="T9" i="97"/>
  <c r="AC7" i="97"/>
  <c r="F61" i="97"/>
  <c r="U13" i="74"/>
  <c r="AA10" i="90"/>
  <c r="N10" i="90" s="1"/>
  <c r="N4" i="90" s="1"/>
  <c r="O11" i="90" s="1"/>
  <c r="N9" i="90"/>
  <c r="Q6" i="74"/>
  <c r="V5" i="74"/>
  <c r="R5" i="74"/>
  <c r="P6" i="74"/>
  <c r="V8" i="74"/>
  <c r="U7" i="74"/>
  <c r="Q13" i="74"/>
  <c r="O5" i="74"/>
  <c r="T6" i="74"/>
  <c r="L17" i="68"/>
  <c r="AA10" i="107"/>
  <c r="N10" i="107" s="1"/>
  <c r="N4" i="107" s="1"/>
  <c r="O11" i="107" s="1"/>
  <c r="S13" i="74"/>
  <c r="O7" i="74"/>
  <c r="L16" i="68"/>
  <c r="Y5" i="74"/>
  <c r="V13" i="74"/>
  <c r="X8" i="74"/>
  <c r="U6" i="74"/>
  <c r="Y13" i="74"/>
  <c r="AA10" i="67"/>
  <c r="N10" i="67" s="1"/>
  <c r="N4" i="67" s="1"/>
  <c r="O11" i="67" s="1"/>
  <c r="U8" i="74"/>
  <c r="Z9" i="91"/>
  <c r="AA10" i="72"/>
  <c r="N10" i="72" s="1"/>
  <c r="N4" i="72" s="1"/>
  <c r="O11" i="72" s="1"/>
  <c r="Z13" i="74"/>
  <c r="T7" i="74"/>
  <c r="P5" i="74"/>
  <c r="S7" i="74"/>
  <c r="T5" i="74"/>
  <c r="P13" i="74"/>
  <c r="R7" i="74"/>
  <c r="P7" i="74"/>
  <c r="W7" i="74"/>
  <c r="Q8" i="74"/>
  <c r="S8" i="74"/>
  <c r="O8" i="74"/>
  <c r="Z6" i="74"/>
  <c r="U5" i="74"/>
  <c r="X7" i="74"/>
  <c r="W8" i="74"/>
  <c r="V7" i="74"/>
  <c r="X13" i="74"/>
  <c r="S5" i="74"/>
  <c r="V6" i="74"/>
  <c r="R6" i="74"/>
  <c r="O13" i="74"/>
  <c r="O6" i="74"/>
  <c r="R5" i="81"/>
  <c r="V8" i="81"/>
  <c r="Q7" i="81"/>
  <c r="Y8" i="81"/>
  <c r="V7" i="81"/>
  <c r="O8" i="81"/>
  <c r="Y6" i="81"/>
  <c r="S6" i="81"/>
  <c r="Q8" i="81"/>
  <c r="V6" i="81"/>
  <c r="Y13" i="81"/>
  <c r="O7" i="81"/>
  <c r="U6" i="81"/>
  <c r="U5" i="81"/>
  <c r="R7" i="81"/>
  <c r="Q5" i="81"/>
  <c r="U13" i="81"/>
  <c r="Z8" i="81"/>
  <c r="W7" i="81"/>
  <c r="T7" i="81"/>
  <c r="T6" i="81"/>
  <c r="O5" i="81"/>
  <c r="P8" i="81"/>
  <c r="T8" i="81"/>
  <c r="S8" i="81"/>
  <c r="X6" i="81"/>
  <c r="V5" i="81"/>
  <c r="S13" i="81"/>
  <c r="Z6" i="81"/>
  <c r="O6" i="81"/>
  <c r="X5" i="81"/>
  <c r="Z5" i="81"/>
  <c r="W8" i="81"/>
  <c r="W13" i="81"/>
  <c r="Z7" i="81"/>
  <c r="X7" i="81"/>
  <c r="W6" i="81"/>
  <c r="V13" i="81"/>
  <c r="O13" i="81"/>
  <c r="Q13" i="81"/>
  <c r="T5" i="81"/>
  <c r="P5" i="81"/>
  <c r="U7" i="81"/>
  <c r="X13" i="81"/>
  <c r="R8" i="81"/>
  <c r="S5" i="81"/>
  <c r="S7" i="81"/>
  <c r="U8" i="81"/>
  <c r="P13" i="81"/>
  <c r="P7" i="81"/>
  <c r="T13" i="81"/>
  <c r="Y5" i="81"/>
  <c r="P6" i="81"/>
  <c r="Z13" i="81"/>
  <c r="AA13" i="81"/>
  <c r="R6" i="81"/>
  <c r="W5" i="81"/>
  <c r="R13" i="81"/>
  <c r="Y7" i="81"/>
  <c r="X8" i="81"/>
  <c r="Q6" i="81"/>
  <c r="AA10" i="95"/>
  <c r="N10" i="95" s="1"/>
  <c r="N4" i="95" s="1"/>
  <c r="O11" i="95" s="1"/>
  <c r="AA10" i="96"/>
  <c r="N10" i="96" s="1"/>
  <c r="N4" i="96" s="1"/>
  <c r="O11" i="96" s="1"/>
  <c r="AA10" i="108"/>
  <c r="N10" i="108" s="1"/>
  <c r="N4" i="108" s="1"/>
  <c r="O11" i="108" s="1"/>
  <c r="S6" i="74"/>
  <c r="W6" i="74"/>
  <c r="Y7" i="74"/>
  <c r="Z5" i="74"/>
  <c r="L21" i="68"/>
  <c r="Q5" i="74"/>
  <c r="Y6" i="74"/>
  <c r="P8" i="74"/>
  <c r="T13" i="74"/>
  <c r="AA10" i="102"/>
  <c r="N10" i="102" s="1"/>
  <c r="N4" i="102" s="1"/>
  <c r="O11" i="102" s="1"/>
  <c r="AA10" i="106"/>
  <c r="N10" i="106" s="1"/>
  <c r="N4" i="106" s="1"/>
  <c r="O11" i="106" s="1"/>
  <c r="X5" i="74"/>
  <c r="AA10" i="86"/>
  <c r="N10" i="86" s="1"/>
  <c r="N4" i="86" s="1"/>
  <c r="O11" i="86" s="1"/>
  <c r="AA13" i="74"/>
  <c r="AA10" i="99"/>
  <c r="N10" i="99" s="1"/>
  <c r="N4" i="99" s="1"/>
  <c r="O11" i="99" s="1"/>
  <c r="Q7" i="74"/>
  <c r="R13" i="74"/>
  <c r="AA10" i="85"/>
  <c r="N10" i="85" s="1"/>
  <c r="N4" i="85" s="1"/>
  <c r="O11" i="85" s="1"/>
  <c r="W5" i="74"/>
  <c r="O18" i="104"/>
  <c r="AA16" i="104" s="1"/>
  <c r="Z8" i="74"/>
  <c r="AA10" i="75"/>
  <c r="N10" i="75" s="1"/>
  <c r="N4" i="75" s="1"/>
  <c r="O11" i="75" s="1"/>
  <c r="AA10" i="109"/>
  <c r="N10" i="109" s="1"/>
  <c r="N4" i="109" s="1"/>
  <c r="O11" i="109" s="1"/>
  <c r="AA10" i="77"/>
  <c r="N10" i="77" s="1"/>
  <c r="N4" i="77" s="1"/>
  <c r="O11" i="77" s="1"/>
  <c r="AA10" i="89"/>
  <c r="N10" i="89" s="1"/>
  <c r="N4" i="89" s="1"/>
  <c r="O11" i="89" s="1"/>
  <c r="T8" i="74"/>
  <c r="X6" i="74"/>
  <c r="N10" i="69"/>
  <c r="O18" i="103"/>
  <c r="AA16" i="103" s="1"/>
  <c r="Y8" i="74"/>
  <c r="W13" i="74"/>
  <c r="Z7" i="74"/>
  <c r="AA10" i="82"/>
  <c r="N10" i="82" s="1"/>
  <c r="N4" i="82" s="1"/>
  <c r="O11" i="82" s="1"/>
  <c r="R8" i="74"/>
  <c r="AA10" i="111"/>
  <c r="N10" i="111" s="1"/>
  <c r="N4" i="111" s="1"/>
  <c r="O11" i="111" s="1"/>
  <c r="AA10" i="110"/>
  <c r="N10" i="110" s="1"/>
  <c r="N4" i="110" s="1"/>
  <c r="O11" i="110" s="1"/>
  <c r="AA10" i="84"/>
  <c r="N10" i="84" s="1"/>
  <c r="N4" i="84" s="1"/>
  <c r="O11" i="84" s="1"/>
  <c r="AA10" i="80"/>
  <c r="N10" i="80" s="1"/>
  <c r="N4" i="80" s="1"/>
  <c r="O11" i="80" s="1"/>
  <c r="AA10" i="79"/>
  <c r="N10" i="79" s="1"/>
  <c r="N4" i="79" s="1"/>
  <c r="O11" i="79" s="1"/>
  <c r="AA10" i="73"/>
  <c r="N10" i="73" s="1"/>
  <c r="N4" i="73" s="1"/>
  <c r="O11" i="73" s="1"/>
  <c r="Q9" i="103"/>
  <c r="W9" i="91"/>
  <c r="R9" i="70"/>
  <c r="AA8" i="70"/>
  <c r="T9" i="70"/>
  <c r="V9" i="103"/>
  <c r="Q9" i="91"/>
  <c r="S9" i="94"/>
  <c r="S9" i="91"/>
  <c r="X9" i="91"/>
  <c r="P9" i="70"/>
  <c r="O11" i="71"/>
  <c r="AA6" i="104"/>
  <c r="Q9" i="76"/>
  <c r="R9" i="103"/>
  <c r="R9" i="104"/>
  <c r="AA7" i="104"/>
  <c r="U9" i="103"/>
  <c r="AA18" i="103"/>
  <c r="Y9" i="103"/>
  <c r="W9" i="103"/>
  <c r="S9" i="103"/>
  <c r="AA6" i="91"/>
  <c r="V9" i="70"/>
  <c r="W9" i="76"/>
  <c r="N9" i="108"/>
  <c r="AA7" i="103"/>
  <c r="W9" i="94"/>
  <c r="R9" i="94"/>
  <c r="P9" i="91"/>
  <c r="X9" i="76"/>
  <c r="AA6" i="76"/>
  <c r="AA14" i="91"/>
  <c r="Z9" i="103"/>
  <c r="U9" i="104"/>
  <c r="S9" i="76"/>
  <c r="N9" i="86"/>
  <c r="AA7" i="91"/>
  <c r="V9" i="94"/>
  <c r="O9" i="70"/>
  <c r="AA5" i="70"/>
  <c r="O10" i="70"/>
  <c r="N9" i="95"/>
  <c r="O14" i="104"/>
  <c r="AA12" i="104" s="1"/>
  <c r="N9" i="107"/>
  <c r="N9" i="100"/>
  <c r="N9" i="99"/>
  <c r="X9" i="104"/>
  <c r="T9" i="103"/>
  <c r="AA8" i="103"/>
  <c r="Q9" i="70"/>
  <c r="U9" i="94"/>
  <c r="V9" i="104"/>
  <c r="N9" i="102"/>
  <c r="N9" i="71"/>
  <c r="T9" i="76"/>
  <c r="N9" i="69"/>
  <c r="N9" i="67"/>
  <c r="W9" i="104"/>
  <c r="Q9" i="104"/>
  <c r="N9" i="82"/>
  <c r="O9" i="104"/>
  <c r="AA5" i="104"/>
  <c r="AA14" i="76"/>
  <c r="U9" i="70"/>
  <c r="O9" i="91"/>
  <c r="O10" i="91"/>
  <c r="AA5" i="91"/>
  <c r="AA8" i="94"/>
  <c r="S9" i="70"/>
  <c r="V9" i="76"/>
  <c r="Y9" i="70"/>
  <c r="Z9" i="76"/>
  <c r="AA6" i="94"/>
  <c r="Y9" i="91"/>
  <c r="P9" i="76"/>
  <c r="AA8" i="104"/>
  <c r="N9" i="106"/>
  <c r="P9" i="94"/>
  <c r="N9" i="89"/>
  <c r="U9" i="76"/>
  <c r="AA8" i="91"/>
  <c r="N9" i="84"/>
  <c r="AA6" i="103"/>
  <c r="N9" i="96"/>
  <c r="Y9" i="104"/>
  <c r="N9" i="77"/>
  <c r="X9" i="103"/>
  <c r="AA7" i="76"/>
  <c r="AA5" i="76"/>
  <c r="O10" i="76"/>
  <c r="O9" i="76"/>
  <c r="P9" i="103"/>
  <c r="R9" i="76"/>
  <c r="N9" i="110"/>
  <c r="N9" i="111"/>
  <c r="N9" i="101"/>
  <c r="AA7" i="70"/>
  <c r="X9" i="94"/>
  <c r="AA14" i="103"/>
  <c r="AA7" i="94"/>
  <c r="Z9" i="104"/>
  <c r="N9" i="73"/>
  <c r="N9" i="109"/>
  <c r="AA8" i="76"/>
  <c r="AA18" i="104"/>
  <c r="N9" i="80"/>
  <c r="N9" i="79"/>
  <c r="R9" i="91"/>
  <c r="N9" i="85"/>
  <c r="T9" i="104"/>
  <c r="AA6" i="70"/>
  <c r="T9" i="91"/>
  <c r="Q9" i="94"/>
  <c r="Z9" i="70"/>
  <c r="O10" i="94"/>
  <c r="AA5" i="94"/>
  <c r="O9" i="94"/>
  <c r="W9" i="70"/>
  <c r="Z9" i="94"/>
  <c r="Y9" i="94"/>
  <c r="N9" i="70"/>
  <c r="AA14" i="104"/>
  <c r="X9" i="70"/>
  <c r="S9" i="104"/>
  <c r="N9" i="75"/>
  <c r="AA14" i="94"/>
  <c r="O11" i="69"/>
  <c r="N9" i="87"/>
  <c r="N9" i="72"/>
  <c r="T9" i="94"/>
  <c r="O9" i="103"/>
  <c r="AA5" i="103"/>
  <c r="P9" i="104"/>
  <c r="U9" i="91"/>
  <c r="O14" i="103"/>
  <c r="AA12" i="103" s="1"/>
  <c r="V9" i="91"/>
  <c r="Y9" i="76"/>
  <c r="W9" i="78" l="1"/>
  <c r="U9" i="78"/>
  <c r="Y9" i="78"/>
  <c r="T9" i="78"/>
  <c r="S9" i="78"/>
  <c r="V9" i="78"/>
  <c r="Q9" i="78"/>
  <c r="R9" i="78"/>
  <c r="Z9" i="78"/>
  <c r="AA14" i="78"/>
  <c r="X9" i="78"/>
  <c r="AA5" i="78"/>
  <c r="O10" i="78"/>
  <c r="AA7" i="78"/>
  <c r="P9" i="78"/>
  <c r="AA8" i="78"/>
  <c r="O14" i="78"/>
  <c r="AA12" i="78" s="1"/>
  <c r="AA6" i="78"/>
  <c r="O9" i="78"/>
  <c r="O14" i="81"/>
  <c r="AA12" i="81" s="1"/>
  <c r="O14" i="74"/>
  <c r="AA12" i="74" s="1"/>
  <c r="F62" i="97"/>
  <c r="V9" i="74"/>
  <c r="X9" i="74"/>
  <c r="S9" i="74"/>
  <c r="O9" i="74"/>
  <c r="P9" i="74"/>
  <c r="T9" i="74"/>
  <c r="R9" i="74"/>
  <c r="U9" i="74"/>
  <c r="Z9" i="74"/>
  <c r="Y9" i="74"/>
  <c r="AA6" i="74"/>
  <c r="W9" i="74"/>
  <c r="AA5" i="74"/>
  <c r="AA7" i="74"/>
  <c r="Q9" i="81"/>
  <c r="P9" i="81"/>
  <c r="AA7" i="81"/>
  <c r="W9" i="81"/>
  <c r="L25" i="68"/>
  <c r="L23" i="68"/>
  <c r="L20" i="68"/>
  <c r="L22" i="68"/>
  <c r="AA10" i="103"/>
  <c r="N10" i="103" s="1"/>
  <c r="N4" i="103" s="1"/>
  <c r="O11" i="103" s="1"/>
  <c r="Z9" i="81"/>
  <c r="AA8" i="74"/>
  <c r="AA14" i="81"/>
  <c r="X9" i="81"/>
  <c r="AA10" i="76"/>
  <c r="N10" i="76" s="1"/>
  <c r="N4" i="76" s="1"/>
  <c r="O11" i="76" s="1"/>
  <c r="Q9" i="74"/>
  <c r="O10" i="74"/>
  <c r="Y9" i="81"/>
  <c r="AA10" i="91"/>
  <c r="N10" i="91" s="1"/>
  <c r="N4" i="91" s="1"/>
  <c r="O11" i="91" s="1"/>
  <c r="V9" i="81"/>
  <c r="AA8" i="81"/>
  <c r="T9" i="81"/>
  <c r="U9" i="81"/>
  <c r="AA6" i="81"/>
  <c r="AA10" i="104"/>
  <c r="N10" i="104" s="1"/>
  <c r="N4" i="104" s="1"/>
  <c r="O11" i="104" s="1"/>
  <c r="AA14" i="74"/>
  <c r="R9" i="81"/>
  <c r="S9" i="81"/>
  <c r="O9" i="81"/>
  <c r="O10" i="81"/>
  <c r="AA5" i="81"/>
  <c r="N10" i="70"/>
  <c r="AA10" i="94"/>
  <c r="N10" i="94" s="1"/>
  <c r="N4" i="94" s="1"/>
  <c r="O11" i="94" s="1"/>
  <c r="N9" i="91"/>
  <c r="N9" i="94"/>
  <c r="O11" i="70"/>
  <c r="N9" i="88"/>
  <c r="N9" i="76"/>
  <c r="N9" i="103"/>
  <c r="N9" i="104"/>
  <c r="L13" i="98"/>
  <c r="L14" i="98"/>
  <c r="L12" i="98"/>
  <c r="L11" i="98"/>
  <c r="L10" i="98"/>
  <c r="L9" i="98"/>
  <c r="N9" i="78" l="1"/>
  <c r="AA10" i="78"/>
  <c r="N10" i="78" s="1"/>
  <c r="N4" i="78" s="1"/>
  <c r="O11" i="78" s="1"/>
  <c r="N9" i="74"/>
  <c r="F63" i="97"/>
  <c r="AA10" i="74"/>
  <c r="N10" i="74" s="1"/>
  <c r="N4" i="74" s="1"/>
  <c r="O11" i="74" s="1"/>
  <c r="L26" i="68"/>
  <c r="L16" i="88"/>
  <c r="N9" i="81"/>
  <c r="L27" i="68"/>
  <c r="AA10" i="81"/>
  <c r="N10" i="81" s="1"/>
  <c r="N4" i="81" s="1"/>
  <c r="O11" i="81" s="1"/>
  <c r="L24" i="68"/>
  <c r="G48" i="98"/>
  <c r="F65" i="97" l="1"/>
  <c r="F64" i="97"/>
  <c r="L28" i="68"/>
  <c r="L29" i="68"/>
  <c r="R8" i="68" s="1"/>
  <c r="U8" i="68"/>
  <c r="Z7" i="68"/>
  <c r="R13" i="68"/>
  <c r="O22" i="63" s="1"/>
  <c r="V6" i="68"/>
  <c r="W8" i="68"/>
  <c r="O5" i="68"/>
  <c r="R7" i="68"/>
  <c r="V8" i="68"/>
  <c r="Q13" i="68"/>
  <c r="N22" i="63" s="1"/>
  <c r="W5" i="68"/>
  <c r="Z13" i="68"/>
  <c r="W22" i="63" s="1"/>
  <c r="S5" i="68"/>
  <c r="Z5" i="68"/>
  <c r="T13" i="68"/>
  <c r="Q22" i="63" s="1"/>
  <c r="I22" i="98"/>
  <c r="I21" i="98"/>
  <c r="I20" i="98"/>
  <c r="I19" i="98"/>
  <c r="I18" i="98"/>
  <c r="I17" i="98"/>
  <c r="I16" i="98"/>
  <c r="I15" i="98"/>
  <c r="I14" i="98"/>
  <c r="I13" i="98"/>
  <c r="I12" i="98"/>
  <c r="I11" i="98"/>
  <c r="I10" i="98"/>
  <c r="I9" i="98"/>
  <c r="I7" i="98"/>
  <c r="I6" i="98"/>
  <c r="I5" i="98"/>
  <c r="P6" i="68" l="1"/>
  <c r="O8" i="68"/>
  <c r="AA13" i="68"/>
  <c r="R6" i="68"/>
  <c r="R5" i="68"/>
  <c r="R9" i="68" s="1"/>
  <c r="F66" i="97"/>
  <c r="Z6" i="68"/>
  <c r="S8" i="68"/>
  <c r="X5" i="68"/>
  <c r="V13" i="68"/>
  <c r="S22" i="63" s="1"/>
  <c r="P8" i="68"/>
  <c r="W13" i="68"/>
  <c r="T22" i="63" s="1"/>
  <c r="Y13" i="68"/>
  <c r="V22" i="63" s="1"/>
  <c r="X6" i="68"/>
  <c r="P5" i="68"/>
  <c r="X7" i="68"/>
  <c r="Y6" i="68"/>
  <c r="P7" i="68"/>
  <c r="X8" i="68"/>
  <c r="U13" i="68"/>
  <c r="R22" i="63" s="1"/>
  <c r="Q5" i="68"/>
  <c r="U7" i="68"/>
  <c r="S7" i="68"/>
  <c r="Y5" i="68"/>
  <c r="Z8" i="68"/>
  <c r="Y7" i="68"/>
  <c r="V5" i="68"/>
  <c r="X13" i="68"/>
  <c r="U22" i="63" s="1"/>
  <c r="O7" i="68"/>
  <c r="W7" i="68"/>
  <c r="O6" i="68"/>
  <c r="T5" i="68"/>
  <c r="T6" i="68"/>
  <c r="O13" i="68"/>
  <c r="V7" i="68"/>
  <c r="U5" i="68"/>
  <c r="T8" i="68"/>
  <c r="P13" i="68"/>
  <c r="M22" i="63" s="1"/>
  <c r="Q7" i="68"/>
  <c r="W6" i="68"/>
  <c r="Q8" i="68"/>
  <c r="U6" i="68"/>
  <c r="S6" i="68"/>
  <c r="Q6" i="68"/>
  <c r="S13" i="68"/>
  <c r="P22" i="63" s="1"/>
  <c r="Y8" i="68"/>
  <c r="T7" i="68"/>
  <c r="I48" i="98"/>
  <c r="H48" i="98"/>
  <c r="G4" i="100" s="1"/>
  <c r="H8" i="100" s="1"/>
  <c r="V9" i="68" l="1"/>
  <c r="O14" i="68"/>
  <c r="Z9" i="68"/>
  <c r="P9" i="68"/>
  <c r="S9" i="68"/>
  <c r="W9" i="68"/>
  <c r="AA8" i="68"/>
  <c r="Q9" i="68"/>
  <c r="U9" i="68"/>
  <c r="L22" i="63"/>
  <c r="AA12" i="68"/>
  <c r="AA7" i="68"/>
  <c r="AA6" i="68"/>
  <c r="O9" i="68"/>
  <c r="Y9" i="68"/>
  <c r="AA5" i="68"/>
  <c r="O10" i="68"/>
  <c r="AA14" i="68"/>
  <c r="N9" i="68" s="1"/>
  <c r="T9" i="68"/>
  <c r="X9" i="68"/>
  <c r="G48" i="100"/>
  <c r="J48" i="100" s="1"/>
  <c r="J4" i="100"/>
  <c r="L4" i="63"/>
  <c r="K4" i="63" s="1"/>
  <c r="J66" i="38"/>
  <c r="A49" i="100" l="1"/>
  <c r="A48" i="100" s="1"/>
  <c r="B47" i="100" s="1"/>
  <c r="F67" i="97"/>
  <c r="L38" i="63"/>
  <c r="L39" i="63"/>
  <c r="L37" i="63" s="1"/>
  <c r="I1" i="70"/>
  <c r="I1" i="111"/>
  <c r="I1" i="109"/>
  <c r="I1" i="96"/>
  <c r="I1" i="98"/>
  <c r="I1" i="82"/>
  <c r="I1" i="83"/>
  <c r="I1" i="84"/>
  <c r="I1" i="87"/>
  <c r="I1" i="88"/>
  <c r="I1" i="110"/>
  <c r="I1" i="71"/>
  <c r="I1" i="89"/>
  <c r="I1" i="67"/>
  <c r="I1" i="92"/>
  <c r="I1" i="93"/>
  <c r="I1" i="94"/>
  <c r="I1" i="95"/>
  <c r="I1" i="73"/>
  <c r="I1" i="76"/>
  <c r="I1" i="78"/>
  <c r="I1" i="80"/>
  <c r="I1" i="81"/>
  <c r="I1" i="100"/>
  <c r="I1" i="65"/>
  <c r="I1" i="91"/>
  <c r="I1" i="107"/>
  <c r="I1" i="74"/>
  <c r="I1" i="75"/>
  <c r="I1" i="77"/>
  <c r="I1" i="79"/>
  <c r="I1" i="102"/>
  <c r="I1" i="103"/>
  <c r="I1" i="101"/>
  <c r="I1" i="69"/>
  <c r="I1" i="104"/>
  <c r="AA10" i="68"/>
  <c r="N10" i="68" s="1"/>
  <c r="N4" i="68" s="1"/>
  <c r="O11" i="68" s="1"/>
  <c r="N2" i="88"/>
  <c r="N10" i="100"/>
  <c r="N4" i="100" s="1"/>
  <c r="O11" i="100" s="1"/>
  <c r="K2" i="63"/>
  <c r="Y4" i="63"/>
  <c r="I77" i="38"/>
  <c r="W5" i="63" s="1"/>
  <c r="U39" i="63" s="1"/>
  <c r="O38" i="63" l="1"/>
  <c r="Q36" i="63" s="1"/>
  <c r="U38" i="63"/>
  <c r="U36" i="63" s="1"/>
  <c r="L36" i="63"/>
  <c r="R38" i="63"/>
  <c r="T36" i="63" s="1"/>
  <c r="O39" i="63"/>
  <c r="O37" i="63" s="1"/>
  <c r="R39" i="63"/>
  <c r="S37" i="63" s="1"/>
  <c r="B49" i="100"/>
  <c r="I13" i="38"/>
  <c r="K13" i="38" s="1"/>
  <c r="W37" i="63"/>
  <c r="V37" i="63"/>
  <c r="U37" i="63"/>
  <c r="N37" i="63" l="1"/>
  <c r="B6" i="101" s="1"/>
  <c r="B4" i="101"/>
  <c r="P36" i="63"/>
  <c r="O36" i="63"/>
  <c r="R37" i="63"/>
  <c r="B10" i="88" s="1"/>
  <c r="M36" i="63"/>
  <c r="N36" i="63"/>
  <c r="W36" i="63"/>
  <c r="V36" i="63"/>
  <c r="M37" i="63"/>
  <c r="B5" i="88" s="1"/>
  <c r="Q37" i="63"/>
  <c r="B9" i="101" s="1"/>
  <c r="S36" i="63"/>
  <c r="R36" i="63"/>
  <c r="P37" i="63"/>
  <c r="B8" i="88" s="1"/>
  <c r="T37" i="63"/>
  <c r="B12" i="88" s="1"/>
  <c r="B7" i="101"/>
  <c r="B7" i="88"/>
  <c r="B11" i="101"/>
  <c r="B11" i="88"/>
  <c r="B14" i="101"/>
  <c r="B14" i="88"/>
  <c r="B15" i="88"/>
  <c r="B15" i="101"/>
  <c r="B13" i="101"/>
  <c r="B13" i="88"/>
  <c r="L2" i="63"/>
  <c r="B10" i="101" l="1"/>
  <c r="B6" i="88"/>
  <c r="B5" i="101"/>
  <c r="B9" i="88"/>
  <c r="B8" i="101"/>
  <c r="B4" i="88"/>
  <c r="B12" i="101"/>
  <c r="L4" i="101"/>
  <c r="L11" i="101"/>
  <c r="L5" i="88"/>
  <c r="L10" i="88"/>
  <c r="L9" i="101"/>
  <c r="L4" i="88"/>
  <c r="L7" i="88"/>
  <c r="L5" i="101"/>
  <c r="L6" i="101"/>
  <c r="L11" i="88"/>
  <c r="L7" i="101"/>
  <c r="L10" i="101"/>
  <c r="L6" i="88"/>
  <c r="L8" i="88"/>
  <c r="J13" i="88"/>
  <c r="L13" i="88"/>
  <c r="J15" i="88"/>
  <c r="L15" i="88"/>
  <c r="J13" i="101"/>
  <c r="L13" i="101"/>
  <c r="J12" i="88"/>
  <c r="L12" i="88"/>
  <c r="J14" i="88"/>
  <c r="L14" i="88"/>
  <c r="J15" i="101"/>
  <c r="L15" i="101"/>
  <c r="J14" i="101"/>
  <c r="L14" i="101"/>
  <c r="L8" i="101" l="1"/>
  <c r="J12" i="101"/>
  <c r="L9" i="88"/>
  <c r="Y6" i="88" s="1"/>
  <c r="L12" i="101"/>
  <c r="X5" i="101" s="1"/>
  <c r="Y8" i="88"/>
  <c r="X5" i="88"/>
  <c r="X7" i="88"/>
  <c r="Y5" i="88"/>
  <c r="X6" i="88"/>
  <c r="Y7" i="88"/>
  <c r="X8" i="101"/>
  <c r="Y7" i="101"/>
  <c r="X6" i="101"/>
  <c r="X7" i="101"/>
  <c r="Y5" i="101"/>
  <c r="Y8" i="101"/>
  <c r="Y6" i="101"/>
  <c r="X8" i="88" l="1"/>
  <c r="X9" i="88" s="1"/>
  <c r="X9" i="101"/>
  <c r="Y9" i="101"/>
  <c r="Y9" i="88"/>
  <c r="L26" i="63"/>
  <c r="B2" i="98" l="1"/>
  <c r="P56" i="97" l="1"/>
  <c r="J4" i="71"/>
  <c r="A49" i="71" s="1"/>
  <c r="A48" i="71" s="1"/>
  <c r="B47" i="71" s="1"/>
  <c r="G48" i="71"/>
  <c r="P57" i="97" l="1"/>
  <c r="P9" i="97"/>
  <c r="J48" i="71"/>
  <c r="K43" i="105" s="1"/>
  <c r="N10" i="71"/>
  <c r="B49" i="71" l="1"/>
  <c r="I21" i="38"/>
  <c r="I71" i="38" s="1"/>
  <c r="J4" i="97"/>
  <c r="J5" i="97" l="1"/>
  <c r="J6" i="97" s="1"/>
  <c r="J7" i="97" s="1"/>
  <c r="J8" i="97" s="1"/>
  <c r="J9" i="97" s="1"/>
  <c r="J10" i="97" s="1"/>
  <c r="J11" i="97" s="1"/>
  <c r="J12" i="97" s="1"/>
  <c r="J13" i="97" s="1"/>
  <c r="J14" i="97" s="1"/>
  <c r="J15" i="97" s="1"/>
  <c r="K21" i="38"/>
  <c r="J16" i="97" l="1"/>
  <c r="J17" i="97" s="1"/>
  <c r="J18" i="97" s="1"/>
  <c r="J19" i="97" s="1"/>
  <c r="J20" i="97" s="1"/>
  <c r="J21" i="97" s="1"/>
  <c r="J22" i="97" s="1"/>
  <c r="J23" i="97" s="1"/>
  <c r="J24" i="97" s="1"/>
  <c r="J25" i="97" s="1"/>
  <c r="N2" i="98"/>
  <c r="C2" i="98"/>
  <c r="G49" i="98"/>
  <c r="E49" i="98"/>
  <c r="E1" i="98" s="1"/>
  <c r="C49" i="98"/>
  <c r="J22" i="98"/>
  <c r="J21" i="98"/>
  <c r="J20" i="98"/>
  <c r="J19" i="98"/>
  <c r="J18" i="98"/>
  <c r="J17" i="98"/>
  <c r="J16" i="98"/>
  <c r="J15" i="98"/>
  <c r="J14" i="98"/>
  <c r="J13" i="98"/>
  <c r="J12" i="98"/>
  <c r="J11" i="98"/>
  <c r="J10" i="98"/>
  <c r="J9" i="98"/>
  <c r="J8" i="98"/>
  <c r="J7" i="98"/>
  <c r="J6" i="98"/>
  <c r="J5" i="98"/>
  <c r="J26" i="97" l="1"/>
  <c r="J27" i="97" s="1"/>
  <c r="J28" i="97" s="1"/>
  <c r="J29" i="97" s="1"/>
  <c r="J30" i="97" s="1"/>
  <c r="J31" i="97" s="1"/>
  <c r="J32" i="97" s="1"/>
  <c r="J33" i="97" s="1"/>
  <c r="J34" i="97" s="1"/>
  <c r="J35" i="97" s="1"/>
  <c r="J36" i="97" s="1"/>
  <c r="J37" i="97" s="1"/>
  <c r="J38" i="97" s="1"/>
  <c r="G1" i="98"/>
  <c r="C1" i="98"/>
  <c r="J4" i="98"/>
  <c r="A49" i="98" s="1"/>
  <c r="A48" i="98" s="1"/>
  <c r="B47" i="98" s="1"/>
  <c r="L4" i="98"/>
  <c r="B43" i="97" l="1"/>
  <c r="B44" i="97" s="1"/>
  <c r="B42" i="97"/>
  <c r="B39" i="97" s="1"/>
  <c r="J48" i="98"/>
  <c r="I8" i="38" l="1"/>
  <c r="J1" i="98"/>
  <c r="K8" i="38"/>
  <c r="B49" i="98"/>
  <c r="Q3" i="98" l="1"/>
  <c r="R2" i="98" s="1"/>
  <c r="L16" i="98" l="1"/>
  <c r="L19" i="98"/>
  <c r="L15" i="98"/>
  <c r="L18" i="98"/>
  <c r="L17" i="98"/>
  <c r="L22" i="98"/>
  <c r="L21" i="98"/>
  <c r="L20" i="98"/>
  <c r="R3" i="98" l="1"/>
  <c r="S2" i="98" s="1"/>
  <c r="L8" i="98"/>
  <c r="L6" i="98"/>
  <c r="L5" i="98"/>
  <c r="L7" i="98"/>
  <c r="A26" i="63"/>
  <c r="A24" i="63"/>
  <c r="A22" i="63"/>
  <c r="A21" i="63"/>
  <c r="A20" i="63"/>
  <c r="A9" i="63"/>
  <c r="A8" i="63"/>
  <c r="A7" i="63"/>
  <c r="S3" i="98" l="1"/>
  <c r="T2" i="98" s="1"/>
  <c r="U8" i="98"/>
  <c r="Z13" i="98"/>
  <c r="W9" i="63" s="1"/>
  <c r="U5" i="98"/>
  <c r="Q7" i="98"/>
  <c r="U6" i="98"/>
  <c r="W5" i="98"/>
  <c r="V5" i="98"/>
  <c r="W7" i="98"/>
  <c r="S5" i="98"/>
  <c r="T13" i="98"/>
  <c r="Q9" i="63" s="1"/>
  <c r="T17" i="98"/>
  <c r="Q8" i="63" s="1"/>
  <c r="R5" i="98"/>
  <c r="R8" i="98"/>
  <c r="AA13" i="98"/>
  <c r="P13" i="98"/>
  <c r="M9" i="63" s="1"/>
  <c r="W13" i="98"/>
  <c r="T9" i="63" s="1"/>
  <c r="P8" i="98"/>
  <c r="R13" i="98"/>
  <c r="O9" i="63" s="1"/>
  <c r="S13" i="98"/>
  <c r="P9" i="63" s="1"/>
  <c r="U13" i="98"/>
  <c r="Z5" i="98"/>
  <c r="P6" i="98"/>
  <c r="Y13" i="98"/>
  <c r="V9" i="63" s="1"/>
  <c r="O6" i="98"/>
  <c r="V13" i="98"/>
  <c r="S9" i="63" s="1"/>
  <c r="W6" i="98"/>
  <c r="P5" i="98"/>
  <c r="X13" i="98"/>
  <c r="U9" i="63" s="1"/>
  <c r="Z6" i="98"/>
  <c r="O7" i="98"/>
  <c r="R7" i="98"/>
  <c r="T8" i="98"/>
  <c r="S8" i="98"/>
  <c r="Y8" i="98"/>
  <c r="AA17" i="97" s="1"/>
  <c r="AA47" i="97" s="1"/>
  <c r="Y7" i="98"/>
  <c r="AA16" i="97" s="1"/>
  <c r="AA46" i="97" s="1"/>
  <c r="V17" i="98"/>
  <c r="S8" i="63" s="1"/>
  <c r="V8" i="98"/>
  <c r="O5" i="98"/>
  <c r="T5" i="98"/>
  <c r="V7" i="98"/>
  <c r="P17" i="98"/>
  <c r="M8" i="63" s="1"/>
  <c r="W17" i="98"/>
  <c r="T8" i="63" s="1"/>
  <c r="S6" i="98"/>
  <c r="X5" i="98"/>
  <c r="Z14" i="97" s="1"/>
  <c r="Z44" i="97" s="1"/>
  <c r="S17" i="98"/>
  <c r="P8" i="63" s="1"/>
  <c r="Y17" i="98"/>
  <c r="V8" i="63" s="1"/>
  <c r="AA17" i="98"/>
  <c r="O17" i="98"/>
  <c r="U7" i="98"/>
  <c r="O8" i="98"/>
  <c r="X8" i="98"/>
  <c r="Z17" i="97" s="1"/>
  <c r="Z47" i="97" s="1"/>
  <c r="R6" i="98"/>
  <c r="P7" i="98"/>
  <c r="R17" i="98"/>
  <c r="O8" i="63" s="1"/>
  <c r="T7" i="98"/>
  <c r="Y5" i="98"/>
  <c r="AA14" i="97" s="1"/>
  <c r="AA44" i="97" s="1"/>
  <c r="Y6" i="98"/>
  <c r="AA15" i="97" s="1"/>
  <c r="AA45" i="97" s="1"/>
  <c r="Q5" i="98"/>
  <c r="U17" i="98"/>
  <c r="R8" i="63" s="1"/>
  <c r="Q6" i="98"/>
  <c r="W8" i="98"/>
  <c r="Q17" i="98"/>
  <c r="N8" i="63" s="1"/>
  <c r="Z7" i="98"/>
  <c r="T6" i="98"/>
  <c r="Z17" i="98"/>
  <c r="W8" i="63" s="1"/>
  <c r="X17" i="98"/>
  <c r="U8" i="63" s="1"/>
  <c r="Q8" i="98"/>
  <c r="Q13" i="98"/>
  <c r="N9" i="63" s="1"/>
  <c r="S7" i="98"/>
  <c r="X6" i="98"/>
  <c r="Z15" i="97" s="1"/>
  <c r="Z45" i="97" s="1"/>
  <c r="Z8" i="98"/>
  <c r="X7" i="98"/>
  <c r="Z16" i="97" s="1"/>
  <c r="Z46" i="97" s="1"/>
  <c r="O13" i="98"/>
  <c r="L9" i="63" s="1"/>
  <c r="V6" i="98"/>
  <c r="A1" i="63"/>
  <c r="T3" i="98" l="1"/>
  <c r="U2" i="98" s="1"/>
  <c r="Z48" i="97"/>
  <c r="L8" i="63"/>
  <c r="L10" i="63" s="1"/>
  <c r="AA5" i="98"/>
  <c r="AA48" i="97"/>
  <c r="R9" i="63"/>
  <c r="R11" i="63" s="1"/>
  <c r="U11" i="63"/>
  <c r="AA6" i="98"/>
  <c r="AA7" i="98"/>
  <c r="AA8" i="98"/>
  <c r="T9" i="98"/>
  <c r="Z9" i="98"/>
  <c r="O9" i="98"/>
  <c r="S9" i="98"/>
  <c r="V9" i="98"/>
  <c r="W9" i="98"/>
  <c r="X9" i="98"/>
  <c r="Z18" i="97" s="1"/>
  <c r="Y9" i="98"/>
  <c r="AA18" i="97" s="1"/>
  <c r="P9" i="98"/>
  <c r="U9" i="98"/>
  <c r="R9" i="98"/>
  <c r="Q9" i="98"/>
  <c r="O11" i="63"/>
  <c r="U10" i="63"/>
  <c r="R10" i="63"/>
  <c r="AA14" i="98"/>
  <c r="O10" i="98"/>
  <c r="O14" i="98"/>
  <c r="AA12" i="98" s="1"/>
  <c r="O10" i="63"/>
  <c r="O18" i="98"/>
  <c r="AA16" i="98" s="1"/>
  <c r="AA18" i="98"/>
  <c r="L12" i="63"/>
  <c r="U3" i="98" l="1"/>
  <c r="V2" i="98" s="1"/>
  <c r="R12" i="63"/>
  <c r="AA10" i="98"/>
  <c r="N10" i="98" s="1"/>
  <c r="N4" i="98" s="1"/>
  <c r="O11" i="98" s="1"/>
  <c r="L11" i="63"/>
  <c r="N9" i="98"/>
  <c r="W12" i="63"/>
  <c r="V3" i="98" l="1"/>
  <c r="W2" i="98" s="1"/>
  <c r="N28" i="63"/>
  <c r="W28" i="63"/>
  <c r="T28" i="63"/>
  <c r="V28" i="63"/>
  <c r="W3" i="98" l="1"/>
  <c r="X2" i="98" s="1"/>
  <c r="D12" i="101"/>
  <c r="D12" i="88"/>
  <c r="D15" i="101"/>
  <c r="D15" i="88"/>
  <c r="D14" i="101"/>
  <c r="D14" i="88"/>
  <c r="D6" i="88"/>
  <c r="D6" i="101"/>
  <c r="U28" i="63"/>
  <c r="U23" i="63"/>
  <c r="L28" i="63"/>
  <c r="L23" i="63"/>
  <c r="O23" i="63"/>
  <c r="R23" i="63"/>
  <c r="Q28" i="63"/>
  <c r="S28" i="63"/>
  <c r="O28" i="63"/>
  <c r="R28" i="63"/>
  <c r="M28" i="63"/>
  <c r="P28" i="63"/>
  <c r="L24" i="63"/>
  <c r="X3" i="98" l="1"/>
  <c r="Y2" i="98" s="1"/>
  <c r="P30" i="63"/>
  <c r="E66" i="38" s="1"/>
  <c r="D5" i="88"/>
  <c r="D5" i="101"/>
  <c r="D11" i="88"/>
  <c r="D11" i="101"/>
  <c r="U29" i="63"/>
  <c r="D13" i="88"/>
  <c r="D13" i="101"/>
  <c r="D8" i="101"/>
  <c r="D8" i="88"/>
  <c r="D7" i="101"/>
  <c r="D7" i="88"/>
  <c r="J6" i="101"/>
  <c r="D10" i="88"/>
  <c r="D10" i="101"/>
  <c r="D9" i="88"/>
  <c r="D9" i="101"/>
  <c r="J6" i="88"/>
  <c r="D4" i="101"/>
  <c r="D4" i="88"/>
  <c r="R29" i="63"/>
  <c r="L29" i="63"/>
  <c r="O29" i="63"/>
  <c r="Y3" i="98" l="1"/>
  <c r="O6" i="101"/>
  <c r="O7" i="101"/>
  <c r="O8" i="101"/>
  <c r="O6" i="88"/>
  <c r="O8" i="88"/>
  <c r="O7" i="88"/>
  <c r="J11" i="101"/>
  <c r="J11" i="88"/>
  <c r="J9" i="101"/>
  <c r="J10" i="88"/>
  <c r="R7" i="88"/>
  <c r="R5" i="88"/>
  <c r="R6" i="88"/>
  <c r="R8" i="88"/>
  <c r="J7" i="88"/>
  <c r="J10" i="101"/>
  <c r="J9" i="88"/>
  <c r="J7" i="101"/>
  <c r="J8" i="88"/>
  <c r="J5" i="101"/>
  <c r="R8" i="101"/>
  <c r="R7" i="101"/>
  <c r="R6" i="101"/>
  <c r="R5" i="101"/>
  <c r="J8" i="101"/>
  <c r="Y30" i="63"/>
  <c r="J60" i="38"/>
  <c r="T15" i="97" l="1"/>
  <c r="T45" i="97" s="1"/>
  <c r="T17" i="97"/>
  <c r="T47" i="97" s="1"/>
  <c r="Q17" i="97"/>
  <c r="Q47" i="97" s="1"/>
  <c r="T16" i="97"/>
  <c r="T46" i="97" s="1"/>
  <c r="Q16" i="97"/>
  <c r="Q15" i="97"/>
  <c r="T14" i="97"/>
  <c r="T44" i="97" s="1"/>
  <c r="Z2" i="98"/>
  <c r="Z3" i="98" s="1"/>
  <c r="J5" i="88"/>
  <c r="O5" i="88"/>
  <c r="O9" i="88" s="1"/>
  <c r="J4" i="101"/>
  <c r="O5" i="101"/>
  <c r="H16" i="88"/>
  <c r="H16" i="101"/>
  <c r="I16" i="101"/>
  <c r="Z5" i="101"/>
  <c r="Z6" i="101"/>
  <c r="Z8" i="101"/>
  <c r="Z7" i="101"/>
  <c r="Z8" i="88"/>
  <c r="Z7" i="88"/>
  <c r="Z5" i="88"/>
  <c r="Z6" i="88"/>
  <c r="W8" i="88"/>
  <c r="W7" i="88"/>
  <c r="W6" i="88"/>
  <c r="W5" i="88"/>
  <c r="W8" i="101"/>
  <c r="W6" i="101"/>
  <c r="W5" i="101"/>
  <c r="W7" i="101"/>
  <c r="R9" i="88"/>
  <c r="Q8" i="101"/>
  <c r="Q6" i="101"/>
  <c r="Q7" i="101"/>
  <c r="Q5" i="101"/>
  <c r="T8" i="88"/>
  <c r="T6" i="88"/>
  <c r="T5" i="88"/>
  <c r="T7" i="88"/>
  <c r="R9" i="101"/>
  <c r="U5" i="88"/>
  <c r="U6" i="88"/>
  <c r="U8" i="88"/>
  <c r="U7" i="88"/>
  <c r="S7" i="88"/>
  <c r="S8" i="88"/>
  <c r="S5" i="88"/>
  <c r="S6" i="88"/>
  <c r="Q5" i="88"/>
  <c r="Q6" i="88"/>
  <c r="Q8" i="88"/>
  <c r="Q7" i="88"/>
  <c r="V7" i="88"/>
  <c r="V5" i="88"/>
  <c r="V6" i="88"/>
  <c r="V8" i="88"/>
  <c r="S7" i="101"/>
  <c r="S5" i="101"/>
  <c r="S6" i="101"/>
  <c r="S8" i="101"/>
  <c r="V6" i="101"/>
  <c r="V8" i="101"/>
  <c r="V7" i="101"/>
  <c r="V5" i="101"/>
  <c r="U7" i="101"/>
  <c r="U6" i="101"/>
  <c r="U5" i="101"/>
  <c r="U8" i="101"/>
  <c r="T5" i="101"/>
  <c r="T6" i="101"/>
  <c r="T7" i="101"/>
  <c r="V16" i="97" s="1"/>
  <c r="V46" i="97" s="1"/>
  <c r="T8" i="101"/>
  <c r="G49" i="101"/>
  <c r="G1" i="101" s="1"/>
  <c r="E49" i="101"/>
  <c r="E1" i="101" s="1"/>
  <c r="C49" i="101"/>
  <c r="C1" i="101" s="1"/>
  <c r="P8" i="101"/>
  <c r="P6" i="101"/>
  <c r="P5" i="101"/>
  <c r="P7" i="101"/>
  <c r="J4" i="88"/>
  <c r="G49" i="88"/>
  <c r="G1" i="88" s="1"/>
  <c r="E49" i="88"/>
  <c r="E1" i="88" s="1"/>
  <c r="C49" i="88"/>
  <c r="C1" i="88" s="1"/>
  <c r="P7" i="88"/>
  <c r="P8" i="88"/>
  <c r="P6" i="88"/>
  <c r="P5" i="88"/>
  <c r="Y14" i="97" l="1"/>
  <c r="Y44" i="97" s="1"/>
  <c r="T18" i="97"/>
  <c r="X15" i="97"/>
  <c r="X45" i="97" s="1"/>
  <c r="X16" i="97"/>
  <c r="X46" i="97" s="1"/>
  <c r="W17" i="97"/>
  <c r="W47" i="97" s="1"/>
  <c r="X14" i="97"/>
  <c r="X44" i="97" s="1"/>
  <c r="I69" i="38"/>
  <c r="V17" i="97"/>
  <c r="V47" i="97" s="1"/>
  <c r="S15" i="97"/>
  <c r="S45" i="97" s="1"/>
  <c r="X17" i="97"/>
  <c r="X47" i="97" s="1"/>
  <c r="Q14" i="97"/>
  <c r="Q44" i="97" s="1"/>
  <c r="V15" i="97"/>
  <c r="V45" i="97" s="1"/>
  <c r="S16" i="97"/>
  <c r="S46" i="97" s="1"/>
  <c r="V14" i="97"/>
  <c r="V44" i="97" s="1"/>
  <c r="S17" i="97"/>
  <c r="S47" i="97" s="1"/>
  <c r="AB17" i="97"/>
  <c r="AB47" i="97" s="1"/>
  <c r="S14" i="97"/>
  <c r="S44" i="97" s="1"/>
  <c r="Y15" i="97"/>
  <c r="Y45" i="97" s="1"/>
  <c r="W14" i="97"/>
  <c r="W44" i="97" s="1"/>
  <c r="W15" i="97"/>
  <c r="W45" i="97" s="1"/>
  <c r="AB14" i="97"/>
  <c r="AB44" i="97" s="1"/>
  <c r="W16" i="97"/>
  <c r="W46" i="97" s="1"/>
  <c r="AB15" i="97"/>
  <c r="AB45" i="97" s="1"/>
  <c r="U17" i="97"/>
  <c r="U47" i="97" s="1"/>
  <c r="R16" i="97"/>
  <c r="R46" i="97" s="1"/>
  <c r="Y16" i="97"/>
  <c r="Y46" i="97" s="1"/>
  <c r="R14" i="97"/>
  <c r="R44" i="97" s="1"/>
  <c r="Q45" i="97"/>
  <c r="AB16" i="97"/>
  <c r="AB46" i="97" s="1"/>
  <c r="U14" i="97"/>
  <c r="U44" i="97" s="1"/>
  <c r="R17" i="97"/>
  <c r="Q46" i="97"/>
  <c r="U15" i="97"/>
  <c r="U45" i="97" s="1"/>
  <c r="U16" i="97"/>
  <c r="U46" i="97" s="1"/>
  <c r="R15" i="97"/>
  <c r="R45" i="97" s="1"/>
  <c r="Y17" i="97"/>
  <c r="Y47" i="97" s="1"/>
  <c r="F76" i="38"/>
  <c r="A49" i="88"/>
  <c r="A49" i="101"/>
  <c r="A48" i="101" s="1"/>
  <c r="B47" i="101" s="1"/>
  <c r="O9" i="101"/>
  <c r="Q18" i="97" s="1"/>
  <c r="T48" i="97"/>
  <c r="Z9" i="88"/>
  <c r="Z9" i="101"/>
  <c r="W9" i="88"/>
  <c r="W9" i="101"/>
  <c r="S9" i="88"/>
  <c r="V9" i="88"/>
  <c r="AA8" i="88"/>
  <c r="T9" i="88"/>
  <c r="AA6" i="88"/>
  <c r="S9" i="101"/>
  <c r="Q9" i="101"/>
  <c r="Q9" i="88"/>
  <c r="T9" i="101"/>
  <c r="U9" i="88"/>
  <c r="U9" i="101"/>
  <c r="V9" i="101"/>
  <c r="AA7" i="88"/>
  <c r="AA7" i="101"/>
  <c r="P9" i="101"/>
  <c r="AA5" i="101"/>
  <c r="O10" i="101"/>
  <c r="O10" i="88"/>
  <c r="AA5" i="88"/>
  <c r="P9" i="88"/>
  <c r="AA6" i="101"/>
  <c r="AA8" i="101"/>
  <c r="F78" i="38"/>
  <c r="D49" i="97" s="1"/>
  <c r="U18" i="97" l="1"/>
  <c r="V18" i="97"/>
  <c r="AB18" i="97"/>
  <c r="Y18" i="97"/>
  <c r="R18" i="97"/>
  <c r="S18" i="97"/>
  <c r="W18" i="97"/>
  <c r="Q48" i="97"/>
  <c r="R47" i="97"/>
  <c r="AC47" i="97" s="1"/>
  <c r="AC17" i="97"/>
  <c r="X18" i="97"/>
  <c r="AC15" i="97"/>
  <c r="AC14" i="97"/>
  <c r="Q19" i="97"/>
  <c r="AC16" i="97"/>
  <c r="G17" i="88"/>
  <c r="G17" i="101"/>
  <c r="H69" i="38"/>
  <c r="AC45" i="97"/>
  <c r="A48" i="88"/>
  <c r="B47" i="88" s="1"/>
  <c r="I49" i="97"/>
  <c r="C44" i="97" s="1"/>
  <c r="Y48" i="97"/>
  <c r="V48" i="97"/>
  <c r="W48" i="97"/>
  <c r="AB48" i="97"/>
  <c r="S48" i="97"/>
  <c r="X48" i="97"/>
  <c r="U48" i="97"/>
  <c r="AC46" i="97"/>
  <c r="F77" i="38"/>
  <c r="D48" i="97" s="1"/>
  <c r="I48" i="97" s="1"/>
  <c r="D47" i="97"/>
  <c r="F51" i="97" s="1"/>
  <c r="R48" i="97" l="1"/>
  <c r="J17" i="101"/>
  <c r="G48" i="101"/>
  <c r="J17" i="88"/>
  <c r="G48" i="88"/>
  <c r="J51" i="97"/>
  <c r="H51" i="97" s="1"/>
  <c r="J44" i="97"/>
  <c r="I44" i="97"/>
  <c r="H44" i="97"/>
  <c r="K14" i="38"/>
  <c r="J48" i="88" l="1"/>
  <c r="AA10" i="88"/>
  <c r="N10" i="88" s="1"/>
  <c r="N4" i="88" s="1"/>
  <c r="O11" i="88" s="1"/>
  <c r="J48" i="101"/>
  <c r="AA10" i="101"/>
  <c r="N10" i="101" l="1"/>
  <c r="N4" i="101" s="1"/>
  <c r="O11" i="101" s="1"/>
  <c r="AC19" i="97"/>
  <c r="J1" i="101"/>
  <c r="B49" i="101"/>
  <c r="I14" i="38"/>
  <c r="I15" i="38" s="1"/>
  <c r="I62" i="38" s="1"/>
  <c r="I18" i="38"/>
  <c r="J1" i="88"/>
  <c r="B49" i="88"/>
  <c r="Q9" i="97"/>
  <c r="AC5" i="97"/>
  <c r="AC10" i="97" s="1"/>
  <c r="Q10" i="97"/>
  <c r="Q51" i="97" s="1"/>
  <c r="G49" i="97"/>
  <c r="I47" i="97"/>
  <c r="C42" i="97" s="1"/>
  <c r="AC49" i="97" l="1"/>
  <c r="Q52" i="97"/>
  <c r="I53" i="38"/>
  <c r="I63" i="38" s="1"/>
  <c r="I64" i="38" s="1"/>
  <c r="I73" i="38" s="1"/>
  <c r="K18" i="38"/>
  <c r="P10" i="97"/>
  <c r="I42" i="97"/>
  <c r="H42" i="97"/>
  <c r="J42" i="97"/>
  <c r="Q49" i="97"/>
  <c r="AC44" i="97"/>
  <c r="I75" i="38" l="1"/>
  <c r="H64" i="38"/>
  <c r="AC51" i="97"/>
  <c r="T51" i="97"/>
  <c r="K57" i="38"/>
  <c r="K74" i="38" s="1"/>
  <c r="P49" i="97" l="1"/>
  <c r="P4" i="97" s="1"/>
  <c r="D59" i="38"/>
  <c r="D74" i="38"/>
  <c r="C43" i="97"/>
  <c r="I43" i="97" l="1"/>
  <c r="H43" i="97"/>
  <c r="J43" i="97"/>
  <c r="F57" i="38" l="1"/>
  <c r="H57" i="38" l="1"/>
  <c r="AC20" i="97"/>
  <c r="P19" i="97" s="1"/>
  <c r="P13" i="97" s="1"/>
  <c r="I57" i="3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Bernd Stampp</author>
  </authors>
  <commentList>
    <comment ref="D79" authorId="0" shapeId="0" xr:uid="{9EC36149-D2A2-4E83-B5D3-85BD5BC3134D}">
      <text>
        <r>
          <rPr>
            <b/>
            <sz val="9"/>
            <color indexed="81"/>
            <rFont val="Arial"/>
            <family val="2"/>
          </rPr>
          <t>Die Anwendung wurde nach den Vorgaben der Finanzverwaltung erstellt sowie  ausgiebig getestet.  Sie erstellt die  Einzelposten  der Anlage EÜR.
Für die  Korrektheit  der  Eintragungen ist der  Bearbeiter  verantwortlich.
Der Ersteller übernimmt keinerlei Gewähr für  Inhalte und  Anpassungen!
Vor Abgabe an  das Finanzamt  sind alle  Werte sorgfältig zu  überprüfen.</t>
        </r>
      </text>
    </comment>
  </commentList>
</comments>
</file>

<file path=xl/sharedStrings.xml><?xml version="1.0" encoding="utf-8"?>
<sst xmlns="http://schemas.openxmlformats.org/spreadsheetml/2006/main" count="7261" uniqueCount="482">
  <si>
    <t>Einnahmen</t>
  </si>
  <si>
    <t>Datum</t>
  </si>
  <si>
    <t>Erhaltungsaufwendungen</t>
  </si>
  <si>
    <t>Werbungskosten</t>
  </si>
  <si>
    <t>Quelle</t>
  </si>
  <si>
    <t>!</t>
  </si>
  <si>
    <t>Beschreibung</t>
  </si>
  <si>
    <t>Beleg</t>
  </si>
  <si>
    <t>EÜR</t>
  </si>
  <si>
    <t>Umsatzsteuerpflichtige Einnahmen</t>
  </si>
  <si>
    <t>vereinnahmte Umsatzsteuer</t>
  </si>
  <si>
    <t>private KFZ-Nutzung</t>
  </si>
  <si>
    <t>sonstige Entnahmen</t>
  </si>
  <si>
    <t>Ausgaben</t>
  </si>
  <si>
    <t>Ausgaben für eigenes Personal</t>
  </si>
  <si>
    <t>AfA auf bewegliche Wirtschaftsgüter</t>
  </si>
  <si>
    <t>Aufwendungen für GWG</t>
  </si>
  <si>
    <t>Restbuchwert ausgeschiedener Güter</t>
  </si>
  <si>
    <t>Miete für Geschäftsräume/Grundstücke</t>
  </si>
  <si>
    <t>Aufwendungen für Telekommunikation</t>
  </si>
  <si>
    <t>Übernachtungs- und Reisekosten</t>
  </si>
  <si>
    <t>EDV-Kosten</t>
  </si>
  <si>
    <t>Arbeitsmittel (Büro, Porto, Literatur)</t>
  </si>
  <si>
    <t>Werbekosten</t>
  </si>
  <si>
    <t>gezahlte Vorsteuerbeträge</t>
  </si>
  <si>
    <t>an das FA gezahlte Umsatzsteuer</t>
  </si>
  <si>
    <t>übrige unbeschränkte Ausgaben</t>
  </si>
  <si>
    <t>abziehbare Geschenke</t>
  </si>
  <si>
    <t>abziehbare Bewirtung</t>
  </si>
  <si>
    <t>Verpflegungsmehraufwand</t>
  </si>
  <si>
    <t>Kfz-Steuer, -Versicherung, Maut</t>
  </si>
  <si>
    <t>Betrag</t>
  </si>
  <si>
    <t>MwSt</t>
  </si>
  <si>
    <t>%</t>
  </si>
  <si>
    <t>Aufwand</t>
  </si>
  <si>
    <t>Beiträge, Gebühren, Versicherungen (ohne Kfz)</t>
  </si>
  <si>
    <t>Jan</t>
  </si>
  <si>
    <t>Feb</t>
  </si>
  <si>
    <t>Mrz</t>
  </si>
  <si>
    <t>Apr</t>
  </si>
  <si>
    <t>Mai</t>
  </si>
  <si>
    <t>Jun</t>
  </si>
  <si>
    <t>Jul</t>
  </si>
  <si>
    <t>Aug</t>
  </si>
  <si>
    <t>Sep</t>
  </si>
  <si>
    <t>Okt</t>
  </si>
  <si>
    <t>Nov</t>
  </si>
  <si>
    <t>Dez</t>
  </si>
  <si>
    <t>Umsatzsteuerfreie Einnahmen</t>
  </si>
  <si>
    <t>vom FA erstattete Umsatzsteuer</t>
  </si>
  <si>
    <t>Bezogene Fremdleistungen</t>
  </si>
  <si>
    <t>AfA auf unbewegliche Wirtschaftsgüter</t>
  </si>
  <si>
    <t>AfA auf immaterielle Wirtschaftsgüter</t>
  </si>
  <si>
    <t>Fortbildungskosten (ohne Reisekosten)</t>
  </si>
  <si>
    <t>Kosten für Rechts/Steuerberatung, Buchführung</t>
  </si>
  <si>
    <t>Kosten für Abfallbeseitigung und Entsorgung</t>
  </si>
  <si>
    <t>Kosten für Verpackung und Transport</t>
  </si>
  <si>
    <t>sonstige beschränkt abziehbare Ausgaben</t>
  </si>
  <si>
    <t>Leasingkosten</t>
  </si>
  <si>
    <t>Ergänzende Angaben</t>
  </si>
  <si>
    <t>abgegeben</t>
  </si>
  <si>
    <t>gezahlt</t>
  </si>
  <si>
    <t>Veräußerung/Entnahme von Anlagevermögen</t>
  </si>
  <si>
    <t>ü</t>
  </si>
  <si>
    <t>Kreditkarte:</t>
  </si>
  <si>
    <t>Geldbeutel:</t>
  </si>
  <si>
    <t>A31</t>
  </si>
  <si>
    <t>A01</t>
  </si>
  <si>
    <t>A02</t>
  </si>
  <si>
    <t>A03</t>
  </si>
  <si>
    <t>A04</t>
  </si>
  <si>
    <t>A05</t>
  </si>
  <si>
    <t>A06</t>
  </si>
  <si>
    <t>A07</t>
  </si>
  <si>
    <t>A08</t>
  </si>
  <si>
    <t>A09</t>
  </si>
  <si>
    <t>A10</t>
  </si>
  <si>
    <t>A11</t>
  </si>
  <si>
    <t>A12</t>
  </si>
  <si>
    <t>A13</t>
  </si>
  <si>
    <t>A14</t>
  </si>
  <si>
    <t>A15</t>
  </si>
  <si>
    <t>A16</t>
  </si>
  <si>
    <t>A17</t>
  </si>
  <si>
    <t>A18</t>
  </si>
  <si>
    <t>A19</t>
  </si>
  <si>
    <t>A20</t>
  </si>
  <si>
    <t>A21</t>
  </si>
  <si>
    <t>A22</t>
  </si>
  <si>
    <t>A23</t>
  </si>
  <si>
    <t>A24</t>
  </si>
  <si>
    <t>A25</t>
  </si>
  <si>
    <t>A26</t>
  </si>
  <si>
    <t>A27</t>
  </si>
  <si>
    <t>A28</t>
  </si>
  <si>
    <t>A29</t>
  </si>
  <si>
    <t>A30</t>
  </si>
  <si>
    <t>E02</t>
  </si>
  <si>
    <t>E03</t>
  </si>
  <si>
    <t>E04</t>
  </si>
  <si>
    <t>E05</t>
  </si>
  <si>
    <t>K</t>
  </si>
  <si>
    <t>Tab A01</t>
  </si>
  <si>
    <t>Tab A02</t>
  </si>
  <si>
    <t>Tab A03</t>
  </si>
  <si>
    <t>Tab A07</t>
  </si>
  <si>
    <t>Tab A09</t>
  </si>
  <si>
    <t>Tab A10</t>
  </si>
  <si>
    <t>Tab A11</t>
  </si>
  <si>
    <t>Tab A12</t>
  </si>
  <si>
    <t>Tab A13</t>
  </si>
  <si>
    <t>Tab A14</t>
  </si>
  <si>
    <t>Tab A15</t>
  </si>
  <si>
    <t>Tab A16</t>
  </si>
  <si>
    <t>Tab A17</t>
  </si>
  <si>
    <t>Tab A18</t>
  </si>
  <si>
    <t>Tab A19</t>
  </si>
  <si>
    <t>Tab A20</t>
  </si>
  <si>
    <t>Tab A21</t>
  </si>
  <si>
    <t>Tab A24</t>
  </si>
  <si>
    <t>Tab A25</t>
  </si>
  <si>
    <t>Tab A26</t>
  </si>
  <si>
    <t>Tab A28</t>
  </si>
  <si>
    <t>Tab A29</t>
  </si>
  <si>
    <t>Tab A30</t>
  </si>
  <si>
    <t>Tab A31</t>
  </si>
  <si>
    <t>Art</t>
  </si>
  <si>
    <t>Nutzungsdauer Jahre</t>
  </si>
  <si>
    <t>Anschaffungsdatum</t>
  </si>
  <si>
    <t>Anschaffungskosten</t>
  </si>
  <si>
    <t>Erinnerungswert</t>
  </si>
  <si>
    <t>Abschreibungssatz</t>
  </si>
  <si>
    <t>Methode</t>
  </si>
  <si>
    <t>Jahres-AfA</t>
  </si>
  <si>
    <t>Abschreibungsende</t>
  </si>
  <si>
    <t>kumulierte Afa</t>
  </si>
  <si>
    <t>Buchwert zu Beginn</t>
  </si>
  <si>
    <t>Buchwert am Ende</t>
  </si>
  <si>
    <t>Jahresanteil</t>
  </si>
  <si>
    <t>Geldbeutel</t>
  </si>
  <si>
    <t>Konto</t>
  </si>
  <si>
    <t>Giro-Konto:</t>
  </si>
  <si>
    <t>Kreditkarte</t>
  </si>
  <si>
    <t>Erlös</t>
  </si>
  <si>
    <t>Veräußerung/Entnahme von Anlagen</t>
  </si>
  <si>
    <t>Giro-</t>
  </si>
  <si>
    <t>I</t>
  </si>
  <si>
    <t>Bezeichnung Objekt</t>
  </si>
  <si>
    <t xml:space="preserve">Gebäude </t>
  </si>
  <si>
    <t>Voranmeldung</t>
  </si>
  <si>
    <t>eingenommen</t>
  </si>
  <si>
    <t>:</t>
  </si>
  <si>
    <t>ausgegeben</t>
  </si>
  <si>
    <t>&gt; Ausgaben</t>
  </si>
  <si>
    <t>errechnet</t>
  </si>
  <si>
    <t>Saldo</t>
  </si>
  <si>
    <t>Eigenanteil</t>
  </si>
  <si>
    <t>O</t>
  </si>
  <si>
    <t xml:space="preserve">  Objekte / Anlagespiegel</t>
  </si>
  <si>
    <t>Kauf</t>
  </si>
  <si>
    <t>#</t>
  </si>
  <si>
    <t xml:space="preserve">   </t>
  </si>
  <si>
    <t>Fahrtkosten (Benzin, Fahrkarten)</t>
  </si>
  <si>
    <t>Waren, Rohstoffe, Hilfsstoffe, Nebenkosten</t>
  </si>
  <si>
    <t xml:space="preserve">Einnahmen </t>
  </si>
  <si>
    <t xml:space="preserve">Ausgaben </t>
  </si>
  <si>
    <t>Netto-Umsatz</t>
  </si>
  <si>
    <t>Umsatzsteuer</t>
  </si>
  <si>
    <t>x</t>
  </si>
  <si>
    <t>Tab O</t>
  </si>
  <si>
    <t>von Anlagen</t>
  </si>
  <si>
    <t>U</t>
  </si>
  <si>
    <t>§</t>
  </si>
  <si>
    <t>Kauf von Anlagen</t>
  </si>
  <si>
    <t xml:space="preserve">Tab K    </t>
  </si>
  <si>
    <t>$</t>
  </si>
  <si>
    <t>&gt; Netto-Umsatz</t>
  </si>
  <si>
    <t>&gt; Umsatzsteuer</t>
  </si>
  <si>
    <t>in Arbeit</t>
  </si>
  <si>
    <t>M</t>
  </si>
  <si>
    <t>Q</t>
  </si>
  <si>
    <t>AfA</t>
  </si>
  <si>
    <t>Zinsen</t>
  </si>
  <si>
    <t>EBITDA</t>
  </si>
  <si>
    <t>Anlage  EÜR</t>
  </si>
  <si>
    <t>Anlage EÜR zur Einkommensteuererklärung</t>
  </si>
  <si>
    <r>
      <t>Geld</t>
    </r>
    <r>
      <rPr>
        <u/>
        <sz val="9"/>
        <color theme="1" tint="0.14999847407452621"/>
        <rFont val="Arial"/>
        <family val="2"/>
      </rPr>
      <t>-</t>
    </r>
    <r>
      <rPr>
        <u/>
        <sz val="10"/>
        <color theme="1" tint="0.14999847407452621"/>
        <rFont val="Arial"/>
        <family val="2"/>
      </rPr>
      <t>Quelle:</t>
    </r>
  </si>
  <si>
    <t xml:space="preserve"> Jahresumsatzsteuer</t>
  </si>
  <si>
    <t>O10</t>
  </si>
  <si>
    <t>O11</t>
  </si>
  <si>
    <t>O12</t>
  </si>
  <si>
    <t>E01</t>
  </si>
  <si>
    <t>X</t>
  </si>
  <si>
    <t>U06</t>
  </si>
  <si>
    <t>U07</t>
  </si>
  <si>
    <t>U08</t>
  </si>
  <si>
    <t>U09</t>
  </si>
  <si>
    <t>^ Gesamt je Zahlungsmittel ^</t>
  </si>
  <si>
    <t>Schuldzinsen</t>
  </si>
  <si>
    <t>Aufwendungen für doppelte Haushaltsführung</t>
  </si>
  <si>
    <t>Aufwendungen für Tätigkeiten in der Wohnung</t>
  </si>
  <si>
    <t>Fahrtkosten privat-Kfz</t>
  </si>
  <si>
    <t>Rücklagen, stille Reserven, Ausgleichsposten</t>
  </si>
  <si>
    <t>Dieses Blatt ist immer sichtbar!</t>
  </si>
  <si>
    <t>Miete/Leasing bewegliche Wirtschaftsgüter (/Kfz)</t>
  </si>
  <si>
    <t>offen</t>
  </si>
  <si>
    <t>Tab A04</t>
  </si>
  <si>
    <t>Tab A05</t>
  </si>
  <si>
    <t>Tab A06</t>
  </si>
  <si>
    <t>Tab A08</t>
  </si>
  <si>
    <t>Tab A22</t>
  </si>
  <si>
    <t>Tab A23</t>
  </si>
  <si>
    <t>Tab A27</t>
  </si>
  <si>
    <t>USt</t>
  </si>
  <si>
    <t>Tab E01</t>
  </si>
  <si>
    <t>Tab E03</t>
  </si>
  <si>
    <t>Tab E04</t>
  </si>
  <si>
    <t>Tab E05</t>
  </si>
  <si>
    <t>USt-Vorauszahlung Mai</t>
  </si>
  <si>
    <t>USt-Vorauszahlung Jan</t>
  </si>
  <si>
    <t>USt-Vorauszahlung Feb</t>
  </si>
  <si>
    <t>USt-Vorauszahlung Mrz</t>
  </si>
  <si>
    <t>USt-Vorauszahlung Apr</t>
  </si>
  <si>
    <t>USt-Vorauszahlung Jun</t>
  </si>
  <si>
    <t>USt-Vorauszahlung Jul</t>
  </si>
  <si>
    <t>USt-Vorauszahlung Aug</t>
  </si>
  <si>
    <t>USt-Vorauszahlung Sep</t>
  </si>
  <si>
    <t>USt-Vorauszahlung Okt</t>
  </si>
  <si>
    <t>USt-Vorauszahlung Nov</t>
  </si>
  <si>
    <t>USt-Vorauszahlung Dez</t>
  </si>
  <si>
    <t>U09_01</t>
  </si>
  <si>
    <t>U09_02</t>
  </si>
  <si>
    <t>U09_03</t>
  </si>
  <si>
    <t>U09_04</t>
  </si>
  <si>
    <t>U09_05</t>
  </si>
  <si>
    <t>U09_06</t>
  </si>
  <si>
    <t>U09_07</t>
  </si>
  <si>
    <t>U09_08</t>
  </si>
  <si>
    <t>U09_09</t>
  </si>
  <si>
    <t>U09_10</t>
  </si>
  <si>
    <t>U09_11</t>
  </si>
  <si>
    <t>U09_12</t>
  </si>
  <si>
    <t>U07_01</t>
  </si>
  <si>
    <t>U07_02</t>
  </si>
  <si>
    <t>U07_03</t>
  </si>
  <si>
    <t>U07_04</t>
  </si>
  <si>
    <t>U07_05</t>
  </si>
  <si>
    <t>U07_06</t>
  </si>
  <si>
    <t>U07_07</t>
  </si>
  <si>
    <t>U07_08</t>
  </si>
  <si>
    <t>U07_09</t>
  </si>
  <si>
    <t>U07_10</t>
  </si>
  <si>
    <t>U07_11</t>
  </si>
  <si>
    <t>U07_12</t>
  </si>
  <si>
    <t>Aufstellung</t>
  </si>
  <si>
    <t>bisher gebuchte Umsätze</t>
  </si>
  <si>
    <t>Einlagen und Entnahmen</t>
  </si>
  <si>
    <t>kein Geldfluss!</t>
  </si>
  <si>
    <t>Buchung</t>
  </si>
  <si>
    <t>umsatzsteuerpflichtiger Netto-Umsatz und vereinnahmte Umsatzsteuer</t>
  </si>
  <si>
    <t>gezahlte Vorsteuer</t>
  </si>
  <si>
    <t>Gewinn und Verlust</t>
  </si>
  <si>
    <r>
      <rPr>
        <b/>
        <sz val="8"/>
        <color theme="0" tint="-0.499984740745262"/>
        <rFont val="Arial"/>
        <family val="2"/>
      </rPr>
      <t>(ohne AfA)</t>
    </r>
    <r>
      <rPr>
        <b/>
        <sz val="8"/>
        <color rgb="FF008080"/>
        <rFont val="Arial"/>
        <family val="2"/>
      </rPr>
      <t xml:space="preserve">  </t>
    </r>
    <r>
      <rPr>
        <b/>
        <sz val="18"/>
        <color rgb="FF002060"/>
        <rFont val="Arial"/>
        <family val="2"/>
      </rPr>
      <t>Ergebnis</t>
    </r>
    <r>
      <rPr>
        <b/>
        <sz val="18"/>
        <color rgb="FF008080"/>
        <rFont val="Arial"/>
        <family val="2"/>
      </rPr>
      <t xml:space="preserve"> </t>
    </r>
  </si>
  <si>
    <t xml:space="preserve">Jahres-Anfangsbestand: </t>
  </si>
  <si>
    <t>bis Jahresende noch offen</t>
  </si>
  <si>
    <t>bisher  gebuchte  Umsätze</t>
  </si>
  <si>
    <t>Pers.Steuer-ID</t>
  </si>
  <si>
    <t>Steuernummer</t>
  </si>
  <si>
    <t>Betriebsnummer</t>
  </si>
  <si>
    <t>Umsatzsteuer-ID</t>
  </si>
  <si>
    <t>AfA Wirtschaftsgut</t>
  </si>
  <si>
    <t>Zugänge/Abgänge</t>
  </si>
  <si>
    <t>Objekte und Anlagen / Anlagenspiegel</t>
  </si>
  <si>
    <t xml:space="preserve">degressiv: </t>
  </si>
  <si>
    <r>
      <rPr>
        <b/>
        <sz val="10"/>
        <color theme="1" tint="0.34998626667073579"/>
        <rFont val="Wingdings"/>
        <charset val="2"/>
      </rPr>
      <t>I</t>
    </r>
    <r>
      <rPr>
        <b/>
        <sz val="10"/>
        <color theme="1" tint="0.34998626667073579"/>
        <rFont val="Arial"/>
        <family val="2"/>
      </rPr>
      <t xml:space="preserve"> manuell</t>
    </r>
    <r>
      <rPr>
        <b/>
        <sz val="10"/>
        <color theme="1" tint="0.34998626667073579"/>
        <rFont val="Arial"/>
        <family val="2"/>
        <charset val="2"/>
      </rPr>
      <t xml:space="preserve"> </t>
    </r>
  </si>
  <si>
    <t>E</t>
  </si>
  <si>
    <t>Wirtschafts-ID</t>
  </si>
  <si>
    <t>Entnahme(-)</t>
  </si>
  <si>
    <t>Einlage(+)</t>
  </si>
  <si>
    <t>umsatzsteuerfreier Umsatz</t>
  </si>
  <si>
    <t>&gt; freier Umsatz</t>
  </si>
  <si>
    <t xml:space="preserve">umsatzsteuerfreier Umsatz </t>
  </si>
  <si>
    <t xml:space="preserve">Brutto-Umsatz </t>
  </si>
  <si>
    <t>^</t>
  </si>
  <si>
    <t xml:space="preserve">Einlagen und Entnahmen </t>
  </si>
  <si>
    <t>getätigte
Zahlungen
mittels:</t>
  </si>
  <si>
    <t>aktuelle
Geldfluss-
Salden</t>
  </si>
  <si>
    <t xml:space="preserve">Kreditkartensaldo </t>
  </si>
  <si>
    <t>Girokonto</t>
  </si>
  <si>
    <t>K-Konto</t>
  </si>
  <si>
    <t xml:space="preserve"> Gesamter Geldfluss</t>
  </si>
  <si>
    <t>Zeilen nicht löschen!</t>
  </si>
  <si>
    <t>vorauszahlungspflichtig [Monat]</t>
  </si>
  <si>
    <t xml:space="preserve">umsatzsteuerpflichtig </t>
  </si>
  <si>
    <t xml:space="preserve">Geldbeutelsaldo </t>
  </si>
  <si>
    <t xml:space="preserve">Giro- und Kreditkartenkonto-Salden </t>
  </si>
  <si>
    <t>zur  Einkommensteuer</t>
  </si>
  <si>
    <t>letzter Abgleich</t>
  </si>
  <si>
    <t>Übersichtsblatt EÜR</t>
  </si>
  <si>
    <t>Schaltjahr</t>
  </si>
  <si>
    <t xml:space="preserve">   Firmennamen eintragen</t>
  </si>
  <si>
    <t>Datum der letzten Änderung
 eintragen</t>
  </si>
  <si>
    <t>Einnahmen/Ausgaben/Ergänzende Angaben</t>
  </si>
  <si>
    <t>Link</t>
  </si>
  <si>
    <t>&lt; Sprung zum entsprechenden Tab nach drücken des Links</t>
  </si>
  <si>
    <t>exportiert nach Steuerschätzer</t>
  </si>
  <si>
    <t>Ê</t>
  </si>
  <si>
    <t xml:space="preserve">     ^ Sprung zum Tab U nach drücken des Links</t>
  </si>
  <si>
    <t xml:space="preserve"> Namen des Steuerpflichtigen eintragen</t>
  </si>
  <si>
    <t xml:space="preserve">  Adresse des Steuerpflichtigen eintragen </t>
  </si>
  <si>
    <t>Steuer-ID eintragen</t>
  </si>
  <si>
    <t>Steuernummer eintragen</t>
  </si>
  <si>
    <t>Betriebsnummer eintrage</t>
  </si>
  <si>
    <t>importiert aus Steuerschätzer</t>
  </si>
  <si>
    <t>ÿ</t>
  </si>
  <si>
    <t>Umsatzsteuer-ID eintragen</t>
  </si>
  <si>
    <t>Wirtschafts-ID eintragen</t>
  </si>
  <si>
    <r>
      <t xml:space="preserve">Die obigen gelben Felder können </t>
    </r>
    <r>
      <rPr>
        <b/>
        <sz val="16"/>
        <color rgb="FFC00000"/>
        <rFont val="Arial"/>
        <family val="2"/>
      </rPr>
      <t xml:space="preserve">ausgefüllt </t>
    </r>
    <r>
      <rPr>
        <b/>
        <sz val="16"/>
        <color rgb="FF002060"/>
        <rFont val="Arial"/>
        <family val="2"/>
      </rPr>
      <t>oder</t>
    </r>
    <r>
      <rPr>
        <b/>
        <sz val="16"/>
        <color rgb="FFC00000"/>
        <rFont val="Arial"/>
        <family val="2"/>
      </rPr>
      <t xml:space="preserve"> selektiert </t>
    </r>
    <r>
      <rPr>
        <b/>
        <sz val="16"/>
        <color rgb="FF002060"/>
        <rFont val="Arial"/>
        <family val="2"/>
      </rPr>
      <t>werden.</t>
    </r>
  </si>
  <si>
    <t>Die Anwendung wurde entsprechend den geltenden Gesetze erstellt und getestet. Der Ersteller übernimmt jedoch keine Gewähr.</t>
  </si>
  <si>
    <t>Der Anwender ist für  Eintragungen und Änderungen selbst verantwortlich.  Dies wird durch Nutzung der Anwendung akzeptiert.</t>
  </si>
  <si>
    <t>Arbeitsblätter</t>
  </si>
  <si>
    <t>2025</t>
  </si>
  <si>
    <t>Arbeitsblatt</t>
  </si>
  <si>
    <t>&lt; nur wenn</t>
  </si>
  <si>
    <t>^ Buchung</t>
  </si>
  <si>
    <t>^ Beschreibung des Vorgangs</t>
  </si>
  <si>
    <t xml:space="preserve"> Zusatz-Info ^</t>
  </si>
  <si>
    <t>^ Beleg-Nr.</t>
  </si>
  <si>
    <t>^ Betrag ±</t>
  </si>
  <si>
    <t>19</t>
  </si>
  <si>
    <t>7</t>
  </si>
  <si>
    <t>0</t>
  </si>
  <si>
    <t>~</t>
  </si>
  <si>
    <t>selektieren</t>
  </si>
  <si>
    <t xml:space="preserve">Zahlungsvorgang über das Giro-Konto &gt; </t>
  </si>
  <si>
    <t xml:space="preserve">  Hiermit  wird  unterschieden, ob  der  Vorgang
  bereits  abgeschlossen  (= fakturiert)  ist oder
  lediglich  nur  geplant wurde  ('Quelle' = 'leer').
  Die Verarbeitung in den weiterführenden Tabs 
  erfolgt  nur  aufgrund  dieser  Kennzeichnung.</t>
  </si>
  <si>
    <t xml:space="preserve">Zahlungsvorgang mit der Kreditkarte &gt; </t>
  </si>
  <si>
    <t xml:space="preserve">Zahlungsvorgang mit Bargeld oder anderweitig &gt; </t>
  </si>
  <si>
    <t xml:space="preserve">interner Buchungsvorgang &gt; </t>
  </si>
  <si>
    <t>Es können sowohl bereits erfolgte Vorgänge als auch noch geplante Vorgänge (ohne Datum!) erfasst werden.</t>
  </si>
  <si>
    <t>Besondere Blätter:</t>
  </si>
  <si>
    <t xml:space="preserve">AfA </t>
  </si>
  <si>
    <t>^ kein Datum</t>
  </si>
  <si>
    <t xml:space="preserve">  ^ AfA für immaterielle|unbewegliche|</t>
  </si>
  <si>
    <t xml:space="preserve">          ^ feste Werte ^</t>
  </si>
  <si>
    <t xml:space="preserve">     |bewegliche Güter eintragen</t>
  </si>
  <si>
    <t xml:space="preserve">Datum des letzten Abgleichs mit dem Girokonto eintragen &gt; </t>
  </si>
  <si>
    <t xml:space="preserve">Endstand des letzten Abgleichs mit dem Girokonto eintragen &gt; </t>
  </si>
  <si>
    <t>&lt; Jahres-Anfangsbestand des
   Girokontos eintragen</t>
  </si>
  <si>
    <t>Falls Kreditkartenabrechnung mitgeführt werden:</t>
  </si>
  <si>
    <t>Periode</t>
  </si>
  <si>
    <t xml:space="preserve">  ^ Eigenanteil-Betrag eintragen</t>
  </si>
  <si>
    <t xml:space="preserve">        ^ Datum der Eigenanteil-Buchung eintragen</t>
  </si>
  <si>
    <t>Zeilen hinzufügen oder löschen</t>
  </si>
  <si>
    <t>Das Löschen  von Zeilen ist jederzeit möglich ohne weitere Maßnahmen.</t>
  </si>
  <si>
    <t>Das Einfügen von Zeilen geschieht wie folgt:</t>
  </si>
  <si>
    <t>^Zeile einfügen</t>
  </si>
  <si>
    <r>
      <t xml:space="preserve">Nach dem Einfügen erscheinen in einigen Zeilen </t>
    </r>
    <r>
      <rPr>
        <b/>
        <u/>
        <sz val="10"/>
        <color rgb="FFC00000"/>
        <rFont val="Arial"/>
        <family val="2"/>
      </rPr>
      <t>rote Ränder</t>
    </r>
    <r>
      <rPr>
        <b/>
        <sz val="10"/>
        <color rgb="FF002060"/>
        <rFont val="Arial"/>
        <family val="2"/>
      </rPr>
      <t xml:space="preserve"> links und rechts:</t>
    </r>
  </si>
  <si>
    <t>korrigieren!</t>
  </si>
  <si>
    <t>bis hierher ziehen!</t>
  </si>
  <si>
    <t>Diese Zeilen (und eventuell nachfolgende Zeilen ohne roten Rand) müssen wie folgt korrigiert werden:</t>
  </si>
  <si>
    <t>Blatt aktiv / inaktiv</t>
  </si>
  <si>
    <r>
      <t xml:space="preserve"> Ist </t>
    </r>
    <r>
      <rPr>
        <b/>
        <sz val="8"/>
        <color theme="8" tint="-0.499984740745262"/>
        <rFont val="Wingdings"/>
        <charset val="2"/>
      </rPr>
      <t>x</t>
    </r>
    <r>
      <rPr>
        <b/>
        <sz val="8"/>
        <color theme="8" tint="-0.499984740745262"/>
        <rFont val="Arial"/>
        <family val="2"/>
      </rPr>
      <t xml:space="preserve"> in TAB EÜR selektiert und dort ausgegraut, wird das Blatt grau und kann ausgeblendet werden.</t>
    </r>
  </si>
  <si>
    <r>
      <t xml:space="preserve">   Tab ausblenden:
</t>
    </r>
    <r>
      <rPr>
        <b/>
        <sz val="6"/>
        <color rgb="FF006666"/>
        <rFont val="Arial"/>
        <family val="2"/>
      </rPr>
      <t xml:space="preserve">   &gt; Tab selektieren
   &gt; 'ausblenden'</t>
    </r>
  </si>
  <si>
    <r>
      <rPr>
        <b/>
        <sz val="8"/>
        <color theme="8" tint="-0.499984740745262"/>
        <rFont val="Wingdings"/>
        <charset val="2"/>
      </rPr>
      <t>ü</t>
    </r>
    <r>
      <rPr>
        <b/>
        <sz val="8"/>
        <color theme="8" tint="-0.499984740745262"/>
        <rFont val="Arial"/>
        <family val="2"/>
      </rPr>
      <t>= aktiv</t>
    </r>
  </si>
  <si>
    <r>
      <rPr>
        <b/>
        <i/>
        <sz val="8"/>
        <color theme="8" tint="-0.499984740745262"/>
        <rFont val="Wingdings"/>
        <charset val="2"/>
      </rPr>
      <t>x</t>
    </r>
    <r>
      <rPr>
        <b/>
        <i/>
        <sz val="8"/>
        <color theme="8" tint="-0.499984740745262"/>
        <rFont val="Arial"/>
        <family val="2"/>
      </rPr>
      <t xml:space="preserve"> = inaktiv</t>
    </r>
  </si>
  <si>
    <t>Objekte und Anlagen</t>
  </si>
  <si>
    <t>Wohnung</t>
  </si>
  <si>
    <t>&lt; die Bezeichnung des Abschreibungs-Objekts eintragen</t>
  </si>
  <si>
    <t>&lt; Nutzungsdauer eintragen</t>
  </si>
  <si>
    <t>&lt; Anschaffungsdatum eintragen</t>
  </si>
  <si>
    <t>&lt; Anschaffungskosten eintragen</t>
  </si>
  <si>
    <t>&lt; Zugänge (+) oder Abgänge (-) eintragen</t>
  </si>
  <si>
    <t>&lt; Abschreibungssatz eintragen</t>
  </si>
  <si>
    <t>linear</t>
  </si>
  <si>
    <t>&lt; Abschreibungsende-Monat eintragen</t>
  </si>
  <si>
    <t>&lt; kumulierte AfA (Stand Vorjahresende) eintragen</t>
  </si>
  <si>
    <r>
      <t xml:space="preserve">Sonder-AfA             </t>
    </r>
    <r>
      <rPr>
        <b/>
        <sz val="8"/>
        <color theme="0" tint="-0.499984740745262"/>
        <rFont val="Arial"/>
        <family val="2"/>
      </rPr>
      <t>[-]</t>
    </r>
  </si>
  <si>
    <t>&lt; Sonder-AfA eintragen</t>
  </si>
  <si>
    <t xml:space="preserve">wie Vorjahr </t>
  </si>
  <si>
    <t>&gt;&gt;</t>
  </si>
  <si>
    <t xml:space="preserve">nicht umsatzsteuerpflichtig </t>
  </si>
  <si>
    <t xml:space="preserve"> ^ Die Parameter werden in Tab EÜR selektiert!</t>
  </si>
  <si>
    <t>Dieser Tab kann ausgeblendet werden.</t>
  </si>
  <si>
    <t>nicht vorauszahlungspflichtig</t>
  </si>
  <si>
    <t>Jahr</t>
  </si>
  <si>
    <t>Monat</t>
  </si>
  <si>
    <t>Vorauszahlungen:  erfolgte Abgabe- und Zahlungstermine</t>
  </si>
  <si>
    <t>&lt; Abgabedatum</t>
  </si>
  <si>
    <t>&lt; Zahlungsdatum</t>
  </si>
  <si>
    <t xml:space="preserve">  eintragen</t>
  </si>
  <si>
    <t>vorauszahlungspflichtig [Quartal]</t>
  </si>
  <si>
    <t>Quartal</t>
  </si>
  <si>
    <t xml:space="preserve">   eintragen</t>
  </si>
  <si>
    <t xml:space="preserve">   Betrag</t>
  </si>
  <si>
    <t>Bemerkung</t>
  </si>
  <si>
    <t xml:space="preserve">siehe </t>
  </si>
  <si>
    <t>unten</t>
  </si>
  <si>
    <t>Abrechnungsmonat</t>
  </si>
  <si>
    <t>Kartenabrechnung Jan</t>
  </si>
  <si>
    <t>25/01</t>
  </si>
  <si>
    <t xml:space="preserve">        ^             </t>
  </si>
  <si>
    <t xml:space="preserve">          ^</t>
  </si>
  <si>
    <t xml:space="preserve">          ^ Datum der Kreditkartenkonto-Buchung eintragen</t>
  </si>
  <si>
    <t>^ fester Wert</t>
  </si>
  <si>
    <t xml:space="preserve">         ^ Betrag der Kreditkartenkonto-Buchung eintragen </t>
  </si>
  <si>
    <r>
      <t xml:space="preserve">In der obigen Rechnung wird </t>
    </r>
    <r>
      <rPr>
        <b/>
        <i/>
        <u/>
        <sz val="10"/>
        <color rgb="FFC00000"/>
        <rFont val="Arial"/>
        <family val="2"/>
      </rPr>
      <t>nur der steuerpflichtige Anteil</t>
    </r>
    <r>
      <rPr>
        <b/>
        <i/>
        <sz val="10"/>
        <color rgb="FFC00000"/>
        <rFont val="Arial"/>
        <family val="2"/>
      </rPr>
      <t xml:space="preserve"> der privaten KFZ-Nutzung berechnet!</t>
    </r>
  </si>
  <si>
    <t>M = Monat, Q = Quartal</t>
  </si>
  <si>
    <t>M abgegeben</t>
  </si>
  <si>
    <t>M gezahlt</t>
  </si>
  <si>
    <t>Q abgegeben</t>
  </si>
  <si>
    <t>Q gezahlt</t>
  </si>
  <si>
    <t>Vorauszahlungen: erfolgte Abgabe- und Zahlungstermine der Voranmeldungen</t>
  </si>
  <si>
    <r>
      <rPr>
        <sz val="20"/>
        <color rgb="FFC00000"/>
        <rFont val="Algerian"/>
        <family val="5"/>
      </rPr>
      <t>€</t>
    </r>
    <r>
      <rPr>
        <sz val="12"/>
        <color rgb="FF006666"/>
        <rFont val="Algerian"/>
        <family val="5"/>
      </rPr>
      <t>FLUX</t>
    </r>
  </si>
  <si>
    <r>
      <t>'</t>
    </r>
    <r>
      <rPr>
        <u/>
        <sz val="8"/>
        <color theme="8" tint="-0.499984740745262"/>
        <rFont val="Arial"/>
        <family val="2"/>
      </rPr>
      <t>Normaljahr</t>
    </r>
    <r>
      <rPr>
        <sz val="8"/>
        <color rgb="FFC00000"/>
        <rFont val="Arial"/>
        <family val="2"/>
      </rPr>
      <t>' oder '</t>
    </r>
    <r>
      <rPr>
        <u/>
        <sz val="8"/>
        <color theme="8" tint="-0.499984740745262"/>
        <rFont val="Arial"/>
        <family val="2"/>
      </rPr>
      <t>Schaltjahr</t>
    </r>
    <r>
      <rPr>
        <sz val="8"/>
        <color rgb="FFC00000"/>
        <rFont val="Arial"/>
        <family val="2"/>
      </rPr>
      <t xml:space="preserve">'
 selektieren &gt; </t>
    </r>
  </si>
  <si>
    <r>
      <t xml:space="preserve"> ^  </t>
    </r>
    <r>
      <rPr>
        <sz val="8"/>
        <color theme="8" tint="-0.499984740745262"/>
        <rFont val="Arial"/>
        <family val="2"/>
      </rPr>
      <t>!</t>
    </r>
    <r>
      <rPr>
        <sz val="8"/>
        <color rgb="FFC00000"/>
        <rFont val="Arial"/>
        <family val="2"/>
      </rPr>
      <t xml:space="preserve"> (immer!), </t>
    </r>
    <r>
      <rPr>
        <sz val="8"/>
        <color theme="8" tint="-0.499984740745262"/>
        <rFont val="Arial"/>
        <family val="2"/>
      </rPr>
      <t>$</t>
    </r>
    <r>
      <rPr>
        <sz val="8"/>
        <color rgb="FFC00000"/>
        <rFont val="Arial"/>
        <family val="2"/>
      </rPr>
      <t xml:space="preserve"> (Gewinn/Verlust), </t>
    </r>
    <r>
      <rPr>
        <sz val="8"/>
        <color theme="8" tint="-0.499984740745262"/>
        <rFont val="Arial"/>
        <family val="2"/>
      </rPr>
      <t>§</t>
    </r>
    <r>
      <rPr>
        <sz val="8"/>
        <color rgb="FFC00000"/>
        <rFont val="Arial"/>
        <family val="2"/>
      </rPr>
      <t xml:space="preserve"> (Steuerdaten), </t>
    </r>
    <r>
      <rPr>
        <sz val="8"/>
        <color theme="8" tint="-0.499984740745262"/>
        <rFont val="Arial"/>
        <family val="2"/>
      </rPr>
      <t>U</t>
    </r>
    <r>
      <rPr>
        <sz val="8"/>
        <color rgb="FFC00000"/>
        <rFont val="Arial"/>
        <family val="2"/>
      </rPr>
      <t xml:space="preserve"> (USt), </t>
    </r>
    <r>
      <rPr>
        <sz val="8"/>
        <color theme="8" tint="-0.499984740745262"/>
        <rFont val="Arial"/>
        <family val="2"/>
      </rPr>
      <t>ü</t>
    </r>
    <r>
      <rPr>
        <sz val="8"/>
        <color rgb="FFC00000"/>
        <rFont val="Arial"/>
        <family val="2"/>
      </rPr>
      <t xml:space="preserve"> (</t>
    </r>
    <r>
      <rPr>
        <sz val="8"/>
        <color theme="8" tint="-0.499984740745262"/>
        <rFont val="Wingdings"/>
        <charset val="2"/>
      </rPr>
      <t>ü</t>
    </r>
    <r>
      <rPr>
        <sz val="8"/>
        <color rgb="FFC00000"/>
        <rFont val="Arial"/>
        <family val="2"/>
      </rPr>
      <t xml:space="preserve">=eingeblendet/aktiv), </t>
    </r>
    <r>
      <rPr>
        <sz val="8"/>
        <color theme="8" tint="-0.499984740745262"/>
        <rFont val="Arial"/>
        <family val="2"/>
      </rPr>
      <t>x</t>
    </r>
    <r>
      <rPr>
        <sz val="8"/>
        <color rgb="FFC00000"/>
        <rFont val="Arial"/>
        <family val="2"/>
      </rPr>
      <t xml:space="preserve"> (</t>
    </r>
    <r>
      <rPr>
        <sz val="8"/>
        <color theme="8" tint="-0.499984740745262"/>
        <rFont val="Wingdings"/>
        <charset val="2"/>
      </rPr>
      <t>x</t>
    </r>
    <r>
      <rPr>
        <sz val="8"/>
        <color rgb="FFC00000"/>
        <rFont val="Arial"/>
        <family val="2"/>
      </rPr>
      <t>=ausgeblendet/inaktiv) selektieren</t>
    </r>
  </si>
  <si>
    <r>
      <t xml:space="preserve"> ^  '</t>
    </r>
    <r>
      <rPr>
        <sz val="8"/>
        <color theme="8" tint="-0.499984740745262"/>
        <rFont val="Arial"/>
        <family val="2"/>
      </rPr>
      <t>ü</t>
    </r>
    <r>
      <rPr>
        <sz val="8"/>
        <color rgb="FFC00000"/>
        <rFont val="Arial"/>
        <family val="2"/>
      </rPr>
      <t>' (</t>
    </r>
    <r>
      <rPr>
        <sz val="8"/>
        <color theme="8" tint="-0.499984740745262"/>
        <rFont val="Wingdings"/>
        <charset val="2"/>
      </rPr>
      <t xml:space="preserve">ü </t>
    </r>
    <r>
      <rPr>
        <sz val="8"/>
        <color rgb="FFC00000"/>
        <rFont val="Arial"/>
        <family val="2"/>
      </rPr>
      <t>= eingeblendet/aktiv), '</t>
    </r>
    <r>
      <rPr>
        <sz val="8"/>
        <color theme="8" tint="-0.499984740745262"/>
        <rFont val="Arial"/>
        <family val="2"/>
      </rPr>
      <t>x</t>
    </r>
    <r>
      <rPr>
        <sz val="8"/>
        <color rgb="FFC00000"/>
        <rFont val="Arial"/>
        <family val="2"/>
      </rPr>
      <t>' (</t>
    </r>
    <r>
      <rPr>
        <sz val="8"/>
        <color theme="8" tint="-0.499984740745262"/>
        <rFont val="Wingdings"/>
        <charset val="2"/>
      </rPr>
      <t xml:space="preserve">x </t>
    </r>
    <r>
      <rPr>
        <sz val="8"/>
        <color rgb="FFC00000"/>
        <rFont val="Arial"/>
        <family val="2"/>
      </rPr>
      <t>= ausgeblendet/inaktiv) selektieren</t>
    </r>
  </si>
  <si>
    <r>
      <rPr>
        <u/>
        <sz val="8"/>
        <color theme="8" tint="-0.499984740745262"/>
        <rFont val="Arial"/>
        <family val="2"/>
      </rPr>
      <t>IST</t>
    </r>
    <r>
      <rPr>
        <sz val="8"/>
        <color rgb="FFC00000"/>
        <rFont val="Arial"/>
        <family val="2"/>
      </rPr>
      <t>|</t>
    </r>
    <r>
      <rPr>
        <u/>
        <sz val="8"/>
        <color theme="8" tint="-0.499984740745262"/>
        <rFont val="Arial"/>
        <family val="2"/>
      </rPr>
      <t>SOLL</t>
    </r>
    <r>
      <rPr>
        <sz val="8"/>
        <color rgb="FFC00000"/>
        <rFont val="Arial"/>
        <family val="2"/>
      </rPr>
      <t>-Versteuerung selektieren</t>
    </r>
  </si>
  <si>
    <r>
      <rPr>
        <sz val="8"/>
        <color theme="8" tint="-0.499984740745262"/>
        <rFont val="Arial"/>
        <family val="2"/>
      </rPr>
      <t>Ê</t>
    </r>
    <r>
      <rPr>
        <sz val="8"/>
        <color rgb="FFC00000"/>
        <rFont val="Arial"/>
        <family val="2"/>
      </rPr>
      <t xml:space="preserve"> (</t>
    </r>
    <r>
      <rPr>
        <sz val="8"/>
        <color rgb="FFC00000"/>
        <rFont val="Wingdings"/>
        <charset val="2"/>
      </rPr>
      <t>Ê</t>
    </r>
    <r>
      <rPr>
        <sz val="8"/>
        <color rgb="FFC00000"/>
        <rFont val="Arial"/>
        <family val="2"/>
      </rPr>
      <t xml:space="preserve">) selektieren, wenn das Feld automatisch exportiert wird ^ </t>
    </r>
  </si>
  <si>
    <r>
      <t xml:space="preserve">    ^ '</t>
    </r>
    <r>
      <rPr>
        <u/>
        <sz val="8"/>
        <color theme="8" tint="-0.499984740745262"/>
        <rFont val="Arial"/>
        <family val="2"/>
      </rPr>
      <t>geplant</t>
    </r>
    <r>
      <rPr>
        <sz val="8"/>
        <color rgb="FFFF0000"/>
        <rFont val="Arial"/>
        <family val="2"/>
      </rPr>
      <t>', '</t>
    </r>
    <r>
      <rPr>
        <u/>
        <sz val="8"/>
        <color theme="8" tint="-0.499984740745262"/>
        <rFont val="Arial"/>
        <family val="2"/>
      </rPr>
      <t>in Arbeit</t>
    </r>
    <r>
      <rPr>
        <sz val="8"/>
        <color rgb="FFFF0000"/>
        <rFont val="Arial"/>
        <family val="2"/>
      </rPr>
      <t>' oder '</t>
    </r>
    <r>
      <rPr>
        <u/>
        <sz val="8"/>
        <color theme="8" tint="-0.499984740745262"/>
        <rFont val="Arial"/>
        <family val="2"/>
      </rPr>
      <t>final</t>
    </r>
    <r>
      <rPr>
        <sz val="8"/>
        <color rgb="FFFF0000"/>
        <rFont val="Arial"/>
        <family val="2"/>
      </rPr>
      <t>' selektieren</t>
    </r>
  </si>
  <si>
    <r>
      <t>^ '</t>
    </r>
    <r>
      <rPr>
        <u/>
        <sz val="8"/>
        <color theme="8" tint="-0.499984740745262"/>
        <rFont val="Arial"/>
        <family val="2"/>
      </rPr>
      <t>vorauszahlungspflichtig (Monat)</t>
    </r>
    <r>
      <rPr>
        <sz val="8"/>
        <color rgb="FFC00000"/>
        <rFont val="Arial"/>
        <family val="2"/>
      </rPr>
      <t>'
   '</t>
    </r>
    <r>
      <rPr>
        <u/>
        <sz val="8"/>
        <color theme="8" tint="-0.499984740745262"/>
        <rFont val="Arial"/>
        <family val="2"/>
      </rPr>
      <t>vorauszahlungspflichtig (Quartal)</t>
    </r>
    <r>
      <rPr>
        <sz val="8"/>
        <color rgb="FFC00000"/>
        <rFont val="Arial"/>
        <family val="2"/>
      </rPr>
      <t>'     oder
   '</t>
    </r>
    <r>
      <rPr>
        <u/>
        <sz val="8"/>
        <color theme="8" tint="-0.499984740745262"/>
        <rFont val="Arial"/>
        <family val="2"/>
      </rPr>
      <t>nicht vorauszahlungspflichtig</t>
    </r>
    <r>
      <rPr>
        <sz val="8"/>
        <color rgb="FFC00000"/>
        <rFont val="Arial"/>
        <family val="2"/>
      </rPr>
      <t>' selektieren</t>
    </r>
  </si>
  <si>
    <r>
      <t>^ '</t>
    </r>
    <r>
      <rPr>
        <u/>
        <sz val="8"/>
        <color theme="8" tint="-0.499984740745262"/>
        <rFont val="Arial"/>
        <family val="2"/>
      </rPr>
      <t>nicht umsatzsteuerpflichtig</t>
    </r>
    <r>
      <rPr>
        <sz val="8"/>
        <color rgb="FFC00000"/>
        <rFont val="Arial"/>
        <family val="2"/>
      </rPr>
      <t>'
oder '</t>
    </r>
    <r>
      <rPr>
        <u/>
        <sz val="8"/>
        <color theme="8" tint="-0.499984740745262"/>
        <rFont val="Arial"/>
        <family val="2"/>
      </rPr>
      <t>umsatzsteuerpflichtig</t>
    </r>
    <r>
      <rPr>
        <sz val="8"/>
        <color rgb="FFC00000"/>
        <rFont val="Arial"/>
        <family val="2"/>
      </rPr>
      <t>'
selektieren</t>
    </r>
  </si>
  <si>
    <r>
      <rPr>
        <sz val="8"/>
        <color theme="8" tint="-0.499984740745262"/>
        <rFont val="Arial"/>
        <family val="2"/>
      </rPr>
      <t>ÿ</t>
    </r>
    <r>
      <rPr>
        <sz val="8"/>
        <color rgb="FFC00000"/>
        <rFont val="Arial"/>
        <family val="2"/>
      </rPr>
      <t xml:space="preserve"> (</t>
    </r>
    <r>
      <rPr>
        <sz val="8"/>
        <color rgb="FFC00000"/>
        <rFont val="Wingdings"/>
        <charset val="2"/>
      </rPr>
      <t>ÿ</t>
    </r>
    <r>
      <rPr>
        <sz val="8"/>
        <color rgb="FFC00000"/>
        <rFont val="Arial"/>
        <family val="2"/>
      </rPr>
      <t>) selektieren, wenn das Feld automatisch importiert wird</t>
    </r>
  </si>
  <si>
    <r>
      <rPr>
        <sz val="8"/>
        <color theme="8" tint="-0.499984740745262"/>
        <rFont val="Arial"/>
        <family val="2"/>
      </rPr>
      <t>I</t>
    </r>
    <r>
      <rPr>
        <sz val="8"/>
        <color rgb="FFC00000"/>
        <rFont val="Arial"/>
        <family val="2"/>
      </rPr>
      <t xml:space="preserve"> (</t>
    </r>
    <r>
      <rPr>
        <sz val="8"/>
        <color rgb="FFC00000"/>
        <rFont val="Wingdings"/>
        <charset val="2"/>
      </rPr>
      <t>I</t>
    </r>
    <r>
      <rPr>
        <sz val="8"/>
        <color rgb="FFC00000"/>
        <rFont val="Arial"/>
        <family val="2"/>
      </rPr>
      <t>) selektieren, wenn das Feld manuell ausgefüllt wird</t>
    </r>
  </si>
  <si>
    <r>
      <t xml:space="preserve">Sprung zum Tab 'EÜR' </t>
    </r>
    <r>
      <rPr>
        <i/>
        <sz val="8"/>
        <color rgb="FF969696"/>
        <rFont val="Arial"/>
        <family val="2"/>
      </rPr>
      <t xml:space="preserve"> </t>
    </r>
    <r>
      <rPr>
        <i/>
        <sz val="8"/>
        <color theme="0" tint="-0.34998626667073579"/>
        <rFont val="Arial"/>
        <family val="2"/>
      </rPr>
      <t>.</t>
    </r>
    <r>
      <rPr>
        <i/>
        <sz val="8"/>
        <color rgb="FFC00000"/>
        <rFont val="Arial"/>
        <family val="2"/>
      </rPr>
      <t xml:space="preserve">
durch anklicken  &gt;</t>
    </r>
  </si>
  <si>
    <r>
      <t xml:space="preserve">   MwSt =  '</t>
    </r>
    <r>
      <rPr>
        <sz val="8"/>
        <color theme="8" tint="-0.499984740745262"/>
        <rFont val="Arial"/>
        <family val="2"/>
      </rPr>
      <t>~</t>
    </r>
    <r>
      <rPr>
        <sz val="8"/>
        <color rgb="FFC00000"/>
        <rFont val="Arial"/>
        <family val="2"/>
      </rPr>
      <t>':</t>
    </r>
  </si>
  <si>
    <r>
      <t>Hierbei ist wichtig, dass die Zelle '</t>
    </r>
    <r>
      <rPr>
        <sz val="10"/>
        <color rgb="FF002060"/>
        <rFont val="Arial"/>
        <family val="2"/>
      </rPr>
      <t>Quelle</t>
    </r>
    <r>
      <rPr>
        <sz val="10"/>
        <color rgb="FFC00000"/>
        <rFont val="Arial"/>
        <family val="2"/>
      </rPr>
      <t>' erst ausgefüllt wird, wenn der Vorgang bereits erfolgt ist (mit Datum)!</t>
    </r>
  </si>
  <si>
    <r>
      <t>'</t>
    </r>
    <r>
      <rPr>
        <u/>
        <sz val="8"/>
        <color rgb="FFC00000"/>
        <rFont val="Arial"/>
        <family val="2"/>
      </rPr>
      <t>%</t>
    </r>
    <r>
      <rPr>
        <sz val="8"/>
        <color theme="8" tint="-0.499984740745262"/>
        <rFont val="Arial"/>
        <family val="2"/>
      </rPr>
      <t>' und '</t>
    </r>
    <r>
      <rPr>
        <u/>
        <sz val="8"/>
        <color rgb="FFC00000"/>
        <rFont val="Arial"/>
        <family val="2"/>
      </rPr>
      <t>MwSt</t>
    </r>
    <r>
      <rPr>
        <sz val="8"/>
        <color theme="8" tint="-0.499984740745262"/>
        <rFont val="Arial"/>
        <family val="2"/>
      </rPr>
      <t>' sind grau, wenn keine Umsatzsteuerpflicht vorliegt oder MwSt hier nicht angewandt wird &gt;</t>
    </r>
  </si>
  <si>
    <r>
      <t xml:space="preserve">  ^ Wert eintragen oder mit </t>
    </r>
    <r>
      <rPr>
        <sz val="8"/>
        <color theme="8" tint="-0.499984740745262"/>
        <rFont val="Arial"/>
        <family val="2"/>
      </rPr>
      <t>Tab 18_O</t>
    </r>
    <r>
      <rPr>
        <sz val="8"/>
        <color rgb="FFC00000"/>
        <rFont val="Arial"/>
        <family val="2"/>
      </rPr>
      <t xml:space="preserve"> verknüpfen</t>
    </r>
  </si>
  <si>
    <r>
      <t xml:space="preserve">          ^ '</t>
    </r>
    <r>
      <rPr>
        <u/>
        <sz val="8"/>
        <color theme="8" tint="-0.499984740745262"/>
        <rFont val="Arial"/>
        <family val="2"/>
      </rPr>
      <t>wie Vorjahr</t>
    </r>
    <r>
      <rPr>
        <sz val="8"/>
        <color rgb="FFC00000"/>
        <rFont val="Arial"/>
        <family val="2"/>
      </rPr>
      <t>' oder '</t>
    </r>
    <r>
      <rPr>
        <u/>
        <sz val="8"/>
        <color theme="8" tint="-0.499984740745262"/>
        <rFont val="Arial"/>
        <family val="2"/>
      </rPr>
      <t>Aufstellung</t>
    </r>
    <r>
      <rPr>
        <sz val="8"/>
        <color rgb="FFC00000"/>
        <rFont val="Arial"/>
        <family val="2"/>
      </rPr>
      <t>' selektieren</t>
    </r>
  </si>
  <si>
    <r>
      <t>&lt; Zelle markieren und in '</t>
    </r>
    <r>
      <rPr>
        <u/>
        <sz val="8"/>
        <color rgb="FFC00000"/>
        <rFont val="Arial"/>
        <family val="2"/>
      </rPr>
      <t>Start</t>
    </r>
    <r>
      <rPr>
        <sz val="8"/>
        <color rgb="FFC00000"/>
        <rFont val="Arial"/>
        <family val="2"/>
      </rPr>
      <t>' im Block '</t>
    </r>
    <r>
      <rPr>
        <u/>
        <sz val="8"/>
        <color rgb="FFC00000"/>
        <rFont val="Arial"/>
        <family val="2"/>
      </rPr>
      <t>Zellen</t>
    </r>
    <r>
      <rPr>
        <sz val="8"/>
        <color rgb="FFC00000"/>
        <rFont val="Arial"/>
        <family val="2"/>
      </rPr>
      <t>':</t>
    </r>
  </si>
  <si>
    <r>
      <t>'</t>
    </r>
    <r>
      <rPr>
        <u/>
        <sz val="8"/>
        <color rgb="FFC00000"/>
        <rFont val="Arial"/>
        <family val="2"/>
      </rPr>
      <t>Einfügen</t>
    </r>
    <r>
      <rPr>
        <sz val="8"/>
        <color rgb="FFC00000"/>
        <rFont val="Arial"/>
        <family val="2"/>
      </rPr>
      <t>' &gt; '</t>
    </r>
    <r>
      <rPr>
        <u/>
        <sz val="8"/>
        <color rgb="FFC00000"/>
        <rFont val="Arial"/>
        <family val="2"/>
      </rPr>
      <t>Blattzeilen einfügen</t>
    </r>
    <r>
      <rPr>
        <sz val="8"/>
        <color rgb="FFC00000"/>
        <rFont val="Arial"/>
        <family val="2"/>
      </rPr>
      <t>' drücken</t>
    </r>
  </si>
  <si>
    <r>
      <t xml:space="preserve">Die letzten korrekten Zellen vor den roten Rändern markieren, so dass die Zellen </t>
    </r>
    <r>
      <rPr>
        <u/>
        <sz val="9"/>
        <color rgb="FFC00000"/>
        <rFont val="Arial"/>
        <family val="2"/>
      </rPr>
      <t>direkt über den roten Rändern</t>
    </r>
    <r>
      <rPr>
        <sz val="9"/>
        <color rgb="FFC00000"/>
        <rFont val="Arial"/>
        <family val="2"/>
      </rPr>
      <t xml:space="preserve"> markiert sind!</t>
    </r>
  </si>
  <si>
    <r>
      <t>Markierung bis direkt über "</t>
    </r>
    <r>
      <rPr>
        <u/>
        <sz val="9"/>
        <color rgb="FFC00000"/>
        <rFont val="Arial"/>
        <family val="2"/>
      </rPr>
      <t>^ hierher ziehen</t>
    </r>
    <r>
      <rPr>
        <sz val="9"/>
        <color rgb="FFC00000"/>
        <rFont val="Arial"/>
        <family val="2"/>
      </rPr>
      <t>" ziehen, auch wenn Zeilen keine roten Ränder haben!</t>
    </r>
  </si>
  <si>
    <r>
      <t xml:space="preserve">   Tab ausblenden:
</t>
    </r>
    <r>
      <rPr>
        <sz val="6"/>
        <color rgb="FF006666"/>
        <rFont val="Arial"/>
        <family val="2"/>
      </rPr>
      <t xml:space="preserve">   &gt; Tab selektieren
   &gt; 'ausblenden'</t>
    </r>
  </si>
  <si>
    <r>
      <t>&lt; '</t>
    </r>
    <r>
      <rPr>
        <u/>
        <sz val="8"/>
        <color theme="8" tint="-0.499984740745262"/>
        <rFont val="Arial"/>
        <family val="2"/>
      </rPr>
      <t>Grundstück</t>
    </r>
    <r>
      <rPr>
        <sz val="8"/>
        <color rgb="FFC00000"/>
        <rFont val="Arial"/>
        <family val="2"/>
      </rPr>
      <t>', '</t>
    </r>
    <r>
      <rPr>
        <u/>
        <sz val="8"/>
        <color theme="8" tint="-0.499984740745262"/>
        <rFont val="Arial"/>
        <family val="2"/>
      </rPr>
      <t>Gebäude</t>
    </r>
    <r>
      <rPr>
        <sz val="8"/>
        <color rgb="FFC00000"/>
        <rFont val="Arial"/>
        <family val="2"/>
      </rPr>
      <t>', '</t>
    </r>
    <r>
      <rPr>
        <u/>
        <sz val="8"/>
        <color theme="8" tint="-0.499984740745262"/>
        <rFont val="Arial"/>
        <family val="2"/>
      </rPr>
      <t>Wirtschaftsgut</t>
    </r>
    <r>
      <rPr>
        <sz val="8"/>
        <color rgb="FFC00000"/>
        <rFont val="Arial"/>
        <family val="2"/>
      </rPr>
      <t>' oder '</t>
    </r>
    <r>
      <rPr>
        <u/>
        <sz val="8"/>
        <color theme="8" tint="-0.499984740745262"/>
        <rFont val="Arial"/>
        <family val="2"/>
      </rPr>
      <t>GWG</t>
    </r>
    <r>
      <rPr>
        <sz val="8"/>
        <color rgb="FFC00000"/>
        <rFont val="Arial"/>
        <family val="2"/>
      </rPr>
      <t>' selektieren</t>
    </r>
  </si>
  <si>
    <r>
      <t>&lt; Erinnerungswert '</t>
    </r>
    <r>
      <rPr>
        <u/>
        <sz val="8"/>
        <color theme="8" tint="-0.499984740745262"/>
        <rFont val="Arial"/>
        <family val="2"/>
      </rPr>
      <t>1</t>
    </r>
    <r>
      <rPr>
        <sz val="8"/>
        <color rgb="FFC00000"/>
        <rFont val="Arial"/>
        <family val="2"/>
      </rPr>
      <t>' oder '</t>
    </r>
    <r>
      <rPr>
        <u/>
        <sz val="8"/>
        <color theme="8" tint="-0.499984740745262"/>
        <rFont val="Arial"/>
        <family val="2"/>
      </rPr>
      <t>0</t>
    </r>
    <r>
      <rPr>
        <sz val="8"/>
        <color rgb="FFC00000"/>
        <rFont val="Arial"/>
        <family val="2"/>
      </rPr>
      <t>' eintragen</t>
    </r>
  </si>
  <si>
    <r>
      <t>&lt; '</t>
    </r>
    <r>
      <rPr>
        <u/>
        <sz val="8"/>
        <color theme="8" tint="-0.499984740745262"/>
        <rFont val="Arial"/>
        <family val="2"/>
      </rPr>
      <t>sofort</t>
    </r>
    <r>
      <rPr>
        <sz val="8"/>
        <color rgb="FFC00000"/>
        <rFont val="Arial"/>
        <family val="2"/>
      </rPr>
      <t>', '</t>
    </r>
    <r>
      <rPr>
        <u/>
        <sz val="8"/>
        <color theme="8" tint="-0.499984740745262"/>
        <rFont val="Arial"/>
        <family val="2"/>
      </rPr>
      <t>linear</t>
    </r>
    <r>
      <rPr>
        <sz val="8"/>
        <color rgb="FFC00000"/>
        <rFont val="Arial"/>
        <family val="2"/>
      </rPr>
      <t>', '</t>
    </r>
    <r>
      <rPr>
        <u/>
        <sz val="8"/>
        <color theme="8" tint="-0.499984740745262"/>
        <rFont val="Arial"/>
        <family val="2"/>
      </rPr>
      <t>degressiv</t>
    </r>
    <r>
      <rPr>
        <sz val="8"/>
        <color rgb="FFC00000"/>
        <rFont val="Arial"/>
        <family val="2"/>
      </rPr>
      <t>' oder '</t>
    </r>
    <r>
      <rPr>
        <u/>
        <sz val="8"/>
        <color theme="8" tint="-0.499984740745262"/>
        <rFont val="Arial"/>
        <family val="2"/>
      </rPr>
      <t>keine AfA</t>
    </r>
    <r>
      <rPr>
        <sz val="8"/>
        <color rgb="FFC00000"/>
        <rFont val="Arial"/>
        <family val="2"/>
      </rPr>
      <t>' selektieren</t>
    </r>
  </si>
  <si>
    <r>
      <t>&lt; '</t>
    </r>
    <r>
      <rPr>
        <u/>
        <sz val="8"/>
        <color theme="8" tint="-0.499984740745262"/>
        <rFont val="Arial"/>
        <family val="2"/>
      </rPr>
      <t>wie Vorjahr</t>
    </r>
    <r>
      <rPr>
        <sz val="8"/>
        <color rgb="FFC00000"/>
        <rFont val="Arial"/>
        <family val="2"/>
      </rPr>
      <t>' oder '</t>
    </r>
    <r>
      <rPr>
        <u/>
        <sz val="8"/>
        <color theme="8" tint="-0.499984740745262"/>
        <rFont val="Arial"/>
        <family val="2"/>
      </rPr>
      <t>Aufstellung</t>
    </r>
    <r>
      <rPr>
        <sz val="8"/>
        <color rgb="FFC00000"/>
        <rFont val="Arial"/>
        <family val="2"/>
      </rPr>
      <t>' selektieren</t>
    </r>
  </si>
  <si>
    <r>
      <t>&lt; '</t>
    </r>
    <r>
      <rPr>
        <u/>
        <sz val="8"/>
        <color theme="8" tint="-0.499984740745262"/>
        <rFont val="Arial"/>
        <family val="2"/>
      </rPr>
      <t>sofort</t>
    </r>
    <r>
      <rPr>
        <sz val="8"/>
        <color rgb="FFC00000"/>
        <rFont val="Arial"/>
        <family val="2"/>
      </rPr>
      <t>', '</t>
    </r>
    <r>
      <rPr>
        <u/>
        <sz val="8"/>
        <color theme="8" tint="-0.499984740745262"/>
        <rFont val="Arial"/>
        <family val="2"/>
      </rPr>
      <t>0</t>
    </r>
    <r>
      <rPr>
        <sz val="8"/>
        <color rgb="FFC00000"/>
        <rFont val="Arial"/>
        <family val="2"/>
      </rPr>
      <t>' oder Anzahl der Abschreibungsmonate (</t>
    </r>
    <r>
      <rPr>
        <u/>
        <sz val="8"/>
        <color theme="8" tint="-0.499984740745262"/>
        <rFont val="Arial"/>
        <family val="2"/>
      </rPr>
      <t>1 - 12</t>
    </r>
    <r>
      <rPr>
        <sz val="8"/>
        <color rgb="FFC00000"/>
        <rFont val="Arial"/>
        <family val="2"/>
      </rPr>
      <t>) selektieren</t>
    </r>
  </si>
  <si>
    <r>
      <t xml:space="preserve">Sprung zum Tab 'EÜR' </t>
    </r>
    <r>
      <rPr>
        <i/>
        <sz val="8"/>
        <color rgb="FF969696"/>
        <rFont val="Arial"/>
        <family val="2"/>
      </rPr>
      <t xml:space="preserve"> </t>
    </r>
    <r>
      <rPr>
        <i/>
        <sz val="8"/>
        <color theme="0"/>
        <rFont val="Arial"/>
        <family val="2"/>
      </rPr>
      <t>.</t>
    </r>
    <r>
      <rPr>
        <i/>
        <sz val="8"/>
        <color rgb="FFC00000"/>
        <rFont val="Arial"/>
        <family val="2"/>
      </rPr>
      <t xml:space="preserve">
durch anklicken  &gt;</t>
    </r>
  </si>
  <si>
    <r>
      <t>'</t>
    </r>
    <r>
      <rPr>
        <u/>
        <sz val="8"/>
        <color theme="8" tint="-0.499984740745262"/>
        <rFont val="Arial"/>
        <family val="2"/>
      </rPr>
      <t>in Arbeit</t>
    </r>
    <r>
      <rPr>
        <sz val="8"/>
        <color rgb="FFC00000"/>
        <rFont val="Arial"/>
        <family val="2"/>
      </rPr>
      <t>' oder '</t>
    </r>
    <r>
      <rPr>
        <u/>
        <sz val="8"/>
        <color theme="8" tint="-0.499984740745262"/>
        <rFont val="Arial"/>
        <family val="2"/>
      </rPr>
      <t>final</t>
    </r>
    <r>
      <rPr>
        <sz val="8"/>
        <color rgb="FFC00000"/>
        <rFont val="Arial"/>
        <family val="2"/>
      </rPr>
      <t xml:space="preserve">' selektieren &gt; </t>
    </r>
  </si>
  <si>
    <r>
      <t>im Melde-</t>
    </r>
    <r>
      <rPr>
        <u/>
        <sz val="8"/>
        <color rgb="FFC00000"/>
        <rFont val="Arial"/>
        <family val="2"/>
      </rPr>
      <t>Monat</t>
    </r>
  </si>
  <si>
    <r>
      <t>Wenn die USt-Voranmeldung ans Finanzamt übermittelt ist
wird das Übermittlungsdatum in  der Zeile  '</t>
    </r>
    <r>
      <rPr>
        <u/>
        <sz val="8"/>
        <rFont val="Arial"/>
        <family val="2"/>
      </rPr>
      <t>abgegeben</t>
    </r>
    <r>
      <rPr>
        <sz val="8"/>
        <rFont val="Arial"/>
        <family val="2"/>
      </rPr>
      <t>'  im
entsprechenden Melde</t>
    </r>
    <r>
      <rPr>
        <u/>
        <sz val="8"/>
        <rFont val="Arial"/>
        <family val="2"/>
      </rPr>
      <t>monat</t>
    </r>
    <r>
      <rPr>
        <sz val="8"/>
        <rFont val="Arial"/>
        <family val="2"/>
      </rPr>
      <t xml:space="preserve">  eingetragen. Dann wird das
Feld 'abgegeben' gelb, das Feld 'gezahlt' rot.
Wenn der Zahlungsausgang-/Eingang  erfolgt ist, wird das
Datum in das Feld 'gezahlt' im  Melde</t>
    </r>
    <r>
      <rPr>
        <u/>
        <sz val="8"/>
        <rFont val="Arial"/>
        <family val="2"/>
      </rPr>
      <t>monat</t>
    </r>
    <r>
      <rPr>
        <sz val="8"/>
        <rFont val="Arial"/>
        <family val="2"/>
      </rPr>
      <t xml:space="preserve">  eingetragen.
Die Felder 'abgegeben' und 'gezahlt' sind daraufhin grün.</t>
    </r>
  </si>
  <si>
    <r>
      <t xml:space="preserve">&lt; der Wert wird in Tab </t>
    </r>
    <r>
      <rPr>
        <u/>
        <sz val="8"/>
        <color rgb="FF7030A0"/>
        <rFont val="Arial"/>
        <family val="2"/>
      </rPr>
      <t>O11</t>
    </r>
    <r>
      <rPr>
        <sz val="8"/>
        <color rgb="FF7030A0"/>
        <rFont val="Arial"/>
        <family val="2"/>
      </rPr>
      <t>|</t>
    </r>
    <r>
      <rPr>
        <u/>
        <sz val="8"/>
        <color rgb="FF7030A0"/>
        <rFont val="Arial"/>
        <family val="2"/>
      </rPr>
      <t>O12</t>
    </r>
    <r>
      <rPr>
        <sz val="8"/>
        <color rgb="FF7030A0"/>
        <rFont val="Arial"/>
        <family val="2"/>
      </rPr>
      <t xml:space="preserve"> übertragen/verknüpft oder [GWG] in Tab A4 eingetragen.</t>
    </r>
  </si>
  <si>
    <r>
      <t>Wenn die USt-Voranmeldung ans Finanzamt übermittelt ist
wird das Übermittlungsdatum in  der Zeile  '</t>
    </r>
    <r>
      <rPr>
        <u/>
        <sz val="8"/>
        <rFont val="Arial"/>
        <family val="2"/>
      </rPr>
      <t>abgegeben</t>
    </r>
    <r>
      <rPr>
        <sz val="8"/>
        <rFont val="Arial"/>
        <family val="2"/>
      </rPr>
      <t>'  im
entsprechenden Melde</t>
    </r>
    <r>
      <rPr>
        <u/>
        <sz val="8"/>
        <rFont val="Arial"/>
        <family val="2"/>
      </rPr>
      <t>quartal</t>
    </r>
    <r>
      <rPr>
        <sz val="8"/>
        <rFont val="Arial"/>
        <family val="2"/>
      </rPr>
      <t xml:space="preserve"> eingetragen. Dann wird das
Feld 'abgegeben' gelb, das Feld 'gezahlt' rot.
Wenn der Zahlungsausgang-/Eingang  erfolgt ist, wird das
Datum in das Feld  'gezahlt'  im Melde</t>
    </r>
    <r>
      <rPr>
        <u/>
        <sz val="8"/>
        <rFont val="Arial"/>
        <family val="2"/>
      </rPr>
      <t>quartal</t>
    </r>
    <r>
      <rPr>
        <sz val="8"/>
        <rFont val="Arial"/>
        <family val="2"/>
      </rPr>
      <t xml:space="preserve"> eingetragen.
Die Felder 'abgegeben' und 'gezahlt' sind daraufhin grün.</t>
    </r>
  </si>
  <si>
    <r>
      <t>im Melde-</t>
    </r>
    <r>
      <rPr>
        <u/>
        <sz val="8"/>
        <color rgb="FFC00000"/>
        <rFont val="Arial"/>
        <family val="2"/>
      </rPr>
      <t>Quartal</t>
    </r>
  </si>
  <si>
    <t>offene USt-Erstattung</t>
  </si>
  <si>
    <t>offene USt-Forderung</t>
  </si>
  <si>
    <r>
      <rPr>
        <sz val="20"/>
        <color rgb="FFC00000"/>
        <rFont val="Algerian"/>
        <family val="5"/>
      </rPr>
      <t xml:space="preserve">  €</t>
    </r>
    <r>
      <rPr>
        <sz val="12"/>
        <color rgb="FF006666"/>
        <rFont val="Algerian"/>
        <family val="5"/>
      </rPr>
      <t>Flux</t>
    </r>
  </si>
  <si>
    <t>geschäftlich</t>
  </si>
  <si>
    <t>Kartenkonto</t>
  </si>
  <si>
    <t>Abrechnung</t>
  </si>
  <si>
    <t>privat</t>
  </si>
  <si>
    <t>Zahlungs-
ausgleich</t>
  </si>
  <si>
    <t>Kreditkartenkonto [Geschäftsanteil]</t>
  </si>
  <si>
    <t>Gesamtauswertung der relevanten Tabs 'E01' bis 'K'</t>
  </si>
  <si>
    <t>geplant</t>
  </si>
  <si>
    <t>wie Vorjahr</t>
  </si>
  <si>
    <t>^ Diese Eintragungen erfolgen automatisch aus den relevanten Tabs! ^</t>
  </si>
  <si>
    <t>Gut</t>
  </si>
  <si>
    <t>Gebäude</t>
  </si>
  <si>
    <t>Wirtschaftsgut</t>
  </si>
  <si>
    <r>
      <t>Nutzungsdauer</t>
    </r>
    <r>
      <rPr>
        <b/>
        <sz val="8"/>
        <color theme="1" tint="0.34998626667073579"/>
        <rFont val="Arial"/>
        <family val="2"/>
      </rPr>
      <t xml:space="preserve"> Jahre</t>
    </r>
  </si>
  <si>
    <t>+Zugänge|-Abgänge</t>
  </si>
  <si>
    <t>10/2031</t>
  </si>
  <si>
    <r>
      <t>kumulierte AfA</t>
    </r>
    <r>
      <rPr>
        <b/>
        <sz val="8"/>
        <color theme="1" tint="0.249977111117893"/>
        <rFont val="Arial"/>
        <family val="2"/>
      </rPr>
      <t xml:space="preserve"> bisher</t>
    </r>
  </si>
  <si>
    <t>Meldungsart</t>
  </si>
  <si>
    <t xml:space="preserve">nicht angerechnet: </t>
  </si>
  <si>
    <t>Wertentwicklung:</t>
  </si>
  <si>
    <r>
      <t xml:space="preserve">Sonder-AfA            </t>
    </r>
    <r>
      <rPr>
        <b/>
        <sz val="8"/>
        <color theme="9" tint="-0.499984740745262"/>
        <rFont val="Arial"/>
        <family val="2"/>
      </rPr>
      <t>[-]</t>
    </r>
  </si>
  <si>
    <t>manuelle Korrektur</t>
  </si>
  <si>
    <r>
      <t>kumulierte AfA</t>
    </r>
    <r>
      <rPr>
        <b/>
        <sz val="8"/>
        <color theme="1" tint="0.34998626667073579"/>
        <rFont val="Arial"/>
        <family val="2"/>
      </rPr>
      <t xml:space="preserve"> danach</t>
    </r>
  </si>
  <si>
    <t>Buchungen:</t>
  </si>
  <si>
    <t xml:space="preserve"> &gt;&gt;  Übertrag nach Tab O11:</t>
  </si>
  <si>
    <t xml:space="preserve"> &gt;&gt;  Übertrag nach Tab O12:</t>
  </si>
  <si>
    <t>Immateriell</t>
  </si>
  <si>
    <t xml:space="preserve"> &gt;&gt;  Übertrag nach Tab O10:</t>
  </si>
  <si>
    <t>AfA auf Immaterielle Güter</t>
  </si>
  <si>
    <t>AfA auf unbewegliche Güter</t>
  </si>
  <si>
    <t>AfA auf bewegliche Güter</t>
  </si>
  <si>
    <t>Version 26-120 | 01.02.2026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</si>
</sst>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3">
    <numFmt numFmtId="5" formatCode="#,##0\ &quot;€&quot;;\-#,##0\ &quot;€&quot;"/>
    <numFmt numFmtId="6" formatCode="#,##0\ &quot;€&quot;;[Red]\-#,##0\ &quot;€&quot;"/>
    <numFmt numFmtId="7" formatCode="#,##0.00\ &quot;€&quot;;\-#,##0.00\ &quot;€&quot;"/>
    <numFmt numFmtId="8" formatCode="#,##0.00\ &quot;€&quot;;[Red]\-#,##0.00\ &quot;€&quot;"/>
    <numFmt numFmtId="44" formatCode="_-* #,##0.00\ &quot;€&quot;_-;\-* #,##0.00\ &quot;€&quot;_-;_-* &quot;-&quot;??\ &quot;€&quot;_-;_-@_-"/>
    <numFmt numFmtId="164" formatCode="#,##0.00_);[Red]\(#,##0.00\)"/>
    <numFmt numFmtId="165" formatCode="#,##0_);\(#,##0\)"/>
    <numFmt numFmtId="166" formatCode="#,##0.00_ ;[Red]\-#,##0.00\ "/>
    <numFmt numFmtId="167" formatCode="_-* #,##0.00\ [$€-1]_-;\-* #,##0.00\ [$€-1]_-;_-* &quot;-&quot;??\ [$€-1]_-"/>
    <numFmt numFmtId="168" formatCode="#,##0.00\ [$€-1];[Red]\-#,##0.00\ [$€-1]"/>
    <numFmt numFmtId="169" formatCode="dd/mm/yy"/>
    <numFmt numFmtId="170" formatCode="yyyy;@"/>
    <numFmt numFmtId="171" formatCode="mmm;@"/>
    <numFmt numFmtId="172" formatCode="[$-407]mmmm;@"/>
    <numFmt numFmtId="173" formatCode="dd/mm/yyyy_)"/>
    <numFmt numFmtId="174" formatCode="#,##0;[Red]#,##0"/>
    <numFmt numFmtId="175" formatCode="#,##0_ ;[Red]\-#,##0\ "/>
    <numFmt numFmtId="176" formatCode="&quot;EÜR &quot;0"/>
    <numFmt numFmtId="177" formatCode="&quot;Stand: &quot;dd/mm/yyyy"/>
    <numFmt numFmtId="178" formatCode="&quot;Geldbeutel: &quot;#,##0.00_ ;[Red]&quot;Geldbeutel: &quot;\-#,##0.00\ "/>
    <numFmt numFmtId="179" formatCode="#,##0.0"/>
    <numFmt numFmtId="180" formatCode="&quot;von &quot;dd/mm/yy;@"/>
    <numFmt numFmtId="181" formatCode="0_ ;[Red]\-0\ "/>
    <numFmt numFmtId="182" formatCode="&quot;bis  &quot;dd/mm/yy;@"/>
    <numFmt numFmtId="183" formatCode="0%&quot; EkSt&quot;"/>
    <numFmt numFmtId="184" formatCode="dd/mm/yyyy;@"/>
    <numFmt numFmtId="185" formatCode="&quot;Konto: &quot;#,##0.00_ ;[Red]&quot;Konto: &quot;\-#,##0.00\ "/>
    <numFmt numFmtId="186" formatCode="&quot;Kreditkarte: &quot;#,##0.00&quot;   &quot;_ ;[Red]&quot;KKreditkarte: &quot;\-#,##0.00&quot;   &quot;\ "/>
    <numFmt numFmtId="187" formatCode="0.0%"/>
    <numFmt numFmtId="188" formatCode="mm\/yyyy"/>
    <numFmt numFmtId="189" formatCode="&quot;AfA &quot;yyyy"/>
    <numFmt numFmtId="190" formatCode="0&quot; Monate&quot;"/>
    <numFmt numFmtId="191" formatCode="&quot;AfA für &quot;yyyy"/>
    <numFmt numFmtId="192" formatCode="#,##0.00\ &quot;€&quot;"/>
    <numFmt numFmtId="193" formatCode="&quot;Geldbeutel:   &quot;#,##0.00_ ;[Red]&quot;Geldbeutel:   &quot;\-#,##0.00\ "/>
    <numFmt numFmtId="194" formatCode="&quot;Kreditkarte:  &quot;#,##0.00_ ;[Red]&quot;Kreditkarte:  &quot;\-#,##0.00\ "/>
    <numFmt numFmtId="195" formatCode="&quot;Girokonto:     &quot;#,##0.00_ ;[Red]&quot;Girokonto:     &quot;\-#,##0.00\ "/>
    <numFmt numFmtId="196" formatCode="&quot;Kreditkarte: &quot;#,##0.00&quot;   &quot;_ ;[Red]&quot;Kreditkarte: &quot;\-#,##0.00&quot;   &quot;\ "/>
    <numFmt numFmtId="197" formatCode="&quot;Einlagen: &quot;#,##0.00\ &quot;€&quot;"/>
    <numFmt numFmtId="198" formatCode="#,##0.00\ &quot;€&quot;;[Red]&quot;Entnahmen: &quot;\-#,##0.00\ &quot;€&quot;"/>
    <numFmt numFmtId="199" formatCode="&quot;Entnahmen: &quot;#,##0.00\ &quot;€&quot;;[Red]&quot;Entnahmen: &quot;\-#,##0.00\ &quot;€&quot;"/>
    <numFmt numFmtId="200" formatCode="#,##0.00\ &quot;€&quot;&quot; Umsatzsteuer&quot;;[Red]\-#,##0.00\ &quot;€&quot;&quot; Umsatzsteuer&quot;"/>
    <numFmt numFmtId="201" formatCode="#,##0&quot; PT&quot;"/>
    <numFmt numFmtId="202" formatCode="&quot;Jahresumsatzsteuer: &quot;#,##0.00"/>
    <numFmt numFmtId="203" formatCode="&quot; offen &quot;#,##0.00_ ;[Red]&quot; offen &quot;\-#,##0.00\ "/>
    <numFmt numFmtId="204" formatCode="&quot; Plan  &quot;#,##0.00_ ;[Red]&quot; Plan  &quot;\-#,##0.00\ "/>
    <numFmt numFmtId="205" formatCode="&quot;Netto-Einnahmen  &quot;#,##0.00"/>
    <numFmt numFmtId="206" formatCode="&quot;Netto-Umsatz  &quot;#,##0.00"/>
    <numFmt numFmtId="207" formatCode="#,##0.00&quot; Einlagen/Entnahmen&quot;"/>
    <numFmt numFmtId="208" formatCode="&quot;vom        &quot;dd/mm/yyyy"/>
    <numFmt numFmtId="209" formatCode="yyyy"/>
    <numFmt numFmtId="210" formatCode="#,##0.00_ ;\-#,##0.00\ "/>
    <numFmt numFmtId="211" formatCode="0.00_ ;[Red]\-0.00\ "/>
    <numFmt numFmtId="212" formatCode="#,##0.00\ [$€-1];\-#,##0.00\ [$€-1]"/>
    <numFmt numFmtId="213" formatCode="&quot;Stand: &quot;#,##0.00_ ;[Red]&quot;Stand: &quot;\-#,##0.00\ "/>
    <numFmt numFmtId="214" formatCode="&quot;Girokonto: &quot;#,##0.00_ ;[Red]&quot;Girokonto: &quot;\-#,##0.00\ "/>
    <numFmt numFmtId="215" formatCode="0.00_ ;\-0.00\ "/>
    <numFmt numFmtId="216" formatCode="yy&quot;/&quot;mm"/>
    <numFmt numFmtId="217" formatCode="&quot;Stand: &quot;#,##0.00_ ;&quot;Stand: &quot;\-#,##0.00"/>
    <numFmt numFmtId="218" formatCode="&quot;erstattete Umsatzsteuer &quot;#,##0.00"/>
    <numFmt numFmtId="219" formatCode="&quot;gezahlte Umsatzsteuer &quot;#,##0.00"/>
    <numFmt numFmtId="220" formatCode="&quot;gezahlte Vorsteuer  &quot;#,##0.00_ ;[Red]&quot;gezahlte Vorsteuer  &quot;\-#,##0.00\ "/>
    <numFmt numFmtId="221" formatCode="&quot;vereinnahmte Umsatzsteuer  &quot;#,##0.00_ ;[Red]&quot;vereinnahmte Umsatzsteuer  &quot;\-#,##0.00\ "/>
    <numFmt numFmtId="222" formatCode="&quot;bis zum  &quot;dd/mm/yyyy"/>
    <numFmt numFmtId="223" formatCode="&quot;Brutto-Umsatz &quot;#,##0.00_ ;&quot;Brutto-Umsatz &quot;\-#,##0.00\ "/>
    <numFmt numFmtId="224" formatCode="&quot;Jan &quot;yyyy"/>
    <numFmt numFmtId="225" formatCode="&quot;Feb &quot;yyyy"/>
    <numFmt numFmtId="226" formatCode="&quot;Mrz &quot;yyyy"/>
    <numFmt numFmtId="227" formatCode="&quot;Apr &quot;yyyy"/>
    <numFmt numFmtId="228" formatCode="&quot;Mai &quot;yyyy"/>
    <numFmt numFmtId="229" formatCode="&quot;Jun &quot;yyyy"/>
    <numFmt numFmtId="230" formatCode="&quot;Jul &quot;yyyy"/>
    <numFmt numFmtId="231" formatCode="&quot;Aug &quot;yyyy"/>
    <numFmt numFmtId="232" formatCode="&quot;Sep &quot;yyyy"/>
    <numFmt numFmtId="233" formatCode="&quot;Okt &quot;yyyy"/>
    <numFmt numFmtId="234" formatCode="&quot;Nov &quot;yyyy"/>
    <numFmt numFmtId="235" formatCode="&quot;Dez &quot;yyyy"/>
    <numFmt numFmtId="236" formatCode="#,##0.00&quot; Kartenkonto&quot;_ ;\-#,##0.00&quot; Kartenkonto&quot;\ "/>
    <numFmt numFmtId="237" formatCode="#,##0.00&quot; Geschäftsanteil&quot;_ ;\-#,##0.00&quot; Geschäftsanteil&quot;\ \ "/>
    <numFmt numFmtId="238" formatCode="#,##0.00&quot; Eigenanteil&quot;"/>
    <numFmt numFmtId="239" formatCode="#,##0.00&quot; geschäftliche  Kreditkartenzahlungen&quot;"/>
    <numFmt numFmtId="240" formatCode="#,##0.00&quot; Einnahmen/Ausgaben&quot;"/>
    <numFmt numFmtId="241" formatCode="#,##0.00\ &quot;€&quot;&quot; Umsatzsteuer-Erstattung&quot;;\-#,##0.00\ &quot;€&quot;&quot; Umsatzsteuer-Zahlung&quot;"/>
    <numFmt numFmtId="242" formatCode="&quot;zum Jahresende &quot;yyyy&quot; (nach Darlehen)  &quot;"/>
    <numFmt numFmtId="243" formatCode="&quot;AfA für &quot;yyyy&quot; [Anteil]&quot;"/>
    <numFmt numFmtId="244" formatCode="#,##0_ ;\-#,##0\ "/>
    <numFmt numFmtId="245" formatCode="#,##0\ &quot;€&quot;;[Red]#,##0\ &quot;€&quot;"/>
    <numFmt numFmtId="246" formatCode="yyyy&quot; Zugänge &quot;"/>
    <numFmt numFmtId="247" formatCode="yyyy&quot; Abgänge &quot;"/>
    <numFmt numFmtId="248" formatCode="yyyy&quot; AfA [Anteil]&quot;"/>
    <numFmt numFmtId="249" formatCode="&quot;Objekt-AfA &quot;yyyy"/>
    <numFmt numFmtId="250" formatCode="#,##0\ _€;\-#,##0\ _€"/>
    <numFmt numFmtId="251" formatCode="&quot;Abschreibung &quot;yyyy"/>
  </numFmts>
  <fonts count="304">
    <font>
      <sz val="12"/>
      <name val="Helv"/>
    </font>
    <font>
      <b/>
      <sz val="12"/>
      <name val="Arial"/>
      <family val="2"/>
    </font>
    <font>
      <sz val="11"/>
      <name val="Arial"/>
      <family val="2"/>
    </font>
    <font>
      <sz val="8"/>
      <name val="Arial"/>
      <family val="2"/>
    </font>
    <font>
      <sz val="12"/>
      <name val="Arial"/>
      <family val="2"/>
    </font>
    <font>
      <b/>
      <i/>
      <sz val="12"/>
      <color indexed="43"/>
      <name val="Arial"/>
      <family val="2"/>
    </font>
    <font>
      <sz val="12"/>
      <name val="Helv"/>
    </font>
    <font>
      <b/>
      <i/>
      <sz val="8"/>
      <color indexed="8"/>
      <name val="Arial"/>
      <family val="2"/>
    </font>
    <font>
      <b/>
      <i/>
      <sz val="10"/>
      <color indexed="21"/>
      <name val="Arial"/>
      <family val="2"/>
    </font>
    <font>
      <b/>
      <i/>
      <sz val="10"/>
      <color indexed="23"/>
      <name val="Arial"/>
      <family val="2"/>
    </font>
    <font>
      <b/>
      <sz val="12"/>
      <color rgb="FFFF0000"/>
      <name val="Arial"/>
      <family val="2"/>
    </font>
    <font>
      <b/>
      <sz val="12"/>
      <color indexed="63"/>
      <name val="Arial"/>
      <family val="2"/>
    </font>
    <font>
      <sz val="12"/>
      <color indexed="22"/>
      <name val="Arial"/>
      <family val="2"/>
    </font>
    <font>
      <b/>
      <sz val="14"/>
      <color rgb="FF002060"/>
      <name val="Arial"/>
      <family val="2"/>
    </font>
    <font>
      <b/>
      <sz val="12"/>
      <color rgb="FF002060"/>
      <name val="Arial"/>
      <family val="2"/>
    </font>
    <font>
      <b/>
      <sz val="10"/>
      <color theme="0"/>
      <name val="Arial"/>
      <family val="2"/>
    </font>
    <font>
      <b/>
      <sz val="12"/>
      <color rgb="FF006600"/>
      <name val="Arial"/>
      <family val="2"/>
    </font>
    <font>
      <b/>
      <sz val="10"/>
      <color rgb="FFFF0000"/>
      <name val="Arial"/>
      <family val="2"/>
    </font>
    <font>
      <b/>
      <sz val="10"/>
      <color theme="1" tint="0.249977111117893"/>
      <name val="Arial"/>
      <family val="2"/>
    </font>
    <font>
      <b/>
      <sz val="10"/>
      <color rgb="FF002060"/>
      <name val="Arial"/>
      <family val="2"/>
    </font>
    <font>
      <sz val="12"/>
      <color rgb="FFFF0000"/>
      <name val="Arial"/>
      <family val="2"/>
    </font>
    <font>
      <sz val="10"/>
      <color theme="0"/>
      <name val="Arial"/>
      <family val="2"/>
    </font>
    <font>
      <u/>
      <sz val="12"/>
      <color theme="10"/>
      <name val="Helv"/>
    </font>
    <font>
      <b/>
      <i/>
      <sz val="11"/>
      <color rgb="FF002060"/>
      <name val="Arial"/>
      <family val="2"/>
    </font>
    <font>
      <b/>
      <i/>
      <sz val="10"/>
      <color theme="0"/>
      <name val="Arial"/>
      <family val="2"/>
    </font>
    <font>
      <b/>
      <sz val="10"/>
      <color indexed="8"/>
      <name val="Arial"/>
      <family val="2"/>
    </font>
    <font>
      <sz val="10"/>
      <name val="Arial"/>
      <family val="2"/>
    </font>
    <font>
      <b/>
      <i/>
      <sz val="10"/>
      <color indexed="63"/>
      <name val="Arial"/>
      <family val="2"/>
    </font>
    <font>
      <b/>
      <i/>
      <sz val="10"/>
      <color indexed="62"/>
      <name val="Arial"/>
      <family val="2"/>
    </font>
    <font>
      <b/>
      <i/>
      <sz val="10"/>
      <color rgb="FFFF0000"/>
      <name val="Arial"/>
      <family val="2"/>
    </font>
    <font>
      <b/>
      <i/>
      <sz val="10"/>
      <color rgb="FF002060"/>
      <name val="Arial"/>
      <family val="2"/>
    </font>
    <font>
      <b/>
      <sz val="10"/>
      <color theme="1" tint="0.14999847407452621"/>
      <name val="Arial"/>
      <family val="2"/>
    </font>
    <font>
      <sz val="10"/>
      <color theme="0" tint="-0.249977111117893"/>
      <name val="Arial"/>
      <family val="2"/>
    </font>
    <font>
      <b/>
      <i/>
      <sz val="10"/>
      <name val="Arial"/>
      <family val="2"/>
    </font>
    <font>
      <b/>
      <i/>
      <sz val="10"/>
      <color theme="0" tint="-0.249977111117893"/>
      <name val="Arial"/>
      <family val="2"/>
    </font>
    <font>
      <b/>
      <i/>
      <sz val="10"/>
      <color indexed="57"/>
      <name val="Arial"/>
      <family val="2"/>
    </font>
    <font>
      <sz val="10"/>
      <color indexed="23"/>
      <name val="Arial"/>
      <family val="2"/>
    </font>
    <font>
      <sz val="10"/>
      <color indexed="63"/>
      <name val="Arial"/>
      <family val="2"/>
    </font>
    <font>
      <sz val="10"/>
      <color indexed="53"/>
      <name val="Arial"/>
      <family val="2"/>
    </font>
    <font>
      <sz val="10"/>
      <color indexed="21"/>
      <name val="Arial"/>
      <family val="2"/>
    </font>
    <font>
      <sz val="10"/>
      <color indexed="57"/>
      <name val="Arial"/>
      <family val="2"/>
    </font>
    <font>
      <b/>
      <i/>
      <sz val="10"/>
      <color theme="9" tint="-0.499984740745262"/>
      <name val="Arial"/>
      <family val="2"/>
    </font>
    <font>
      <b/>
      <sz val="10"/>
      <color theme="9" tint="-0.499984740745262"/>
      <name val="Arial"/>
      <family val="2"/>
    </font>
    <font>
      <b/>
      <i/>
      <sz val="10"/>
      <color theme="1" tint="0.249977111117893"/>
      <name val="Arial"/>
      <family val="2"/>
    </font>
    <font>
      <b/>
      <sz val="10"/>
      <color rgb="FF9C0006"/>
      <name val="Arial"/>
      <family val="2"/>
    </font>
    <font>
      <b/>
      <sz val="10"/>
      <color rgb="FF9C6500"/>
      <name val="Arial"/>
      <family val="2"/>
    </font>
    <font>
      <b/>
      <sz val="12"/>
      <color rgb="FF006666"/>
      <name val="Arial"/>
      <family val="2"/>
    </font>
    <font>
      <b/>
      <sz val="24"/>
      <color rgb="FF002060"/>
      <name val="Arial"/>
      <family val="2"/>
    </font>
    <font>
      <b/>
      <sz val="14"/>
      <color rgb="FF006666"/>
      <name val="Arial"/>
      <family val="2"/>
    </font>
    <font>
      <sz val="8"/>
      <color theme="0"/>
      <name val="Arial"/>
      <family val="2"/>
    </font>
    <font>
      <sz val="8"/>
      <color theme="1"/>
      <name val="Arial"/>
      <family val="2"/>
    </font>
    <font>
      <b/>
      <i/>
      <sz val="8"/>
      <color theme="1"/>
      <name val="Arial"/>
      <family val="2"/>
    </font>
    <font>
      <b/>
      <sz val="10"/>
      <color theme="0" tint="-0.249977111117893"/>
      <name val="Arial"/>
      <family val="2"/>
    </font>
    <font>
      <b/>
      <sz val="12"/>
      <color theme="1" tint="0.249977111117893"/>
      <name val="Arial"/>
      <family val="2"/>
    </font>
    <font>
      <sz val="10"/>
      <color theme="0" tint="-0.499984740745262"/>
      <name val="Arial"/>
      <family val="2"/>
    </font>
    <font>
      <sz val="20"/>
      <name val="Arial"/>
      <family val="2"/>
    </font>
    <font>
      <sz val="22"/>
      <name val="Arial"/>
      <family val="2"/>
    </font>
    <font>
      <sz val="8"/>
      <color theme="1" tint="0.34998626667073579"/>
      <name val="Arial"/>
      <family val="2"/>
    </font>
    <font>
      <b/>
      <i/>
      <sz val="8"/>
      <color rgb="FF002060"/>
      <name val="Arial"/>
      <family val="2"/>
    </font>
    <font>
      <i/>
      <sz val="10"/>
      <color theme="0" tint="-0.249977111117893"/>
      <name val="Arial"/>
      <family val="2"/>
    </font>
    <font>
      <b/>
      <i/>
      <sz val="10"/>
      <color theme="1" tint="0.14999847407452621"/>
      <name val="Arial"/>
      <family val="2"/>
    </font>
    <font>
      <b/>
      <sz val="10"/>
      <color rgb="FFFFFF00"/>
      <name val="Arial"/>
      <family val="2"/>
    </font>
    <font>
      <b/>
      <sz val="10"/>
      <color theme="1" tint="0.34998626667073579"/>
      <name val="Arial"/>
      <family val="2"/>
    </font>
    <font>
      <b/>
      <sz val="18"/>
      <color rgb="FF008080"/>
      <name val="Arial"/>
      <family val="2"/>
    </font>
    <font>
      <b/>
      <i/>
      <sz val="11"/>
      <color theme="0"/>
      <name val="Arial"/>
      <family val="2"/>
    </font>
    <font>
      <b/>
      <sz val="11"/>
      <color indexed="9"/>
      <name val="Arial"/>
      <family val="2"/>
    </font>
    <font>
      <sz val="14"/>
      <color theme="0"/>
      <name val="Arial"/>
      <family val="2"/>
    </font>
    <font>
      <sz val="14"/>
      <name val="Arial"/>
      <family val="2"/>
    </font>
    <font>
      <b/>
      <sz val="10"/>
      <color indexed="63"/>
      <name val="Arial"/>
      <family val="2"/>
    </font>
    <font>
      <b/>
      <sz val="10"/>
      <name val="Arial"/>
      <family val="2"/>
    </font>
    <font>
      <sz val="11"/>
      <color theme="0"/>
      <name val="Arial"/>
      <family val="2"/>
    </font>
    <font>
      <sz val="11"/>
      <color indexed="23"/>
      <name val="Arial"/>
      <family val="2"/>
    </font>
    <font>
      <sz val="11"/>
      <color indexed="63"/>
      <name val="Arial"/>
      <family val="2"/>
    </font>
    <font>
      <sz val="11"/>
      <color indexed="53"/>
      <name val="Arial"/>
      <family val="2"/>
    </font>
    <font>
      <sz val="11"/>
      <color indexed="57"/>
      <name val="Arial"/>
      <family val="2"/>
    </font>
    <font>
      <sz val="11"/>
      <color indexed="21"/>
      <name val="Arial"/>
      <family val="2"/>
    </font>
    <font>
      <b/>
      <sz val="8"/>
      <color rgb="FF002060"/>
      <name val="Arial"/>
      <family val="2"/>
    </font>
    <font>
      <b/>
      <i/>
      <sz val="8"/>
      <color indexed="43"/>
      <name val="Arial"/>
      <family val="2"/>
    </font>
    <font>
      <b/>
      <sz val="10"/>
      <color rgb="FF008080"/>
      <name val="Arial"/>
      <family val="2"/>
    </font>
    <font>
      <b/>
      <i/>
      <sz val="10"/>
      <color rgb="FF008080"/>
      <name val="Arial"/>
      <family val="2"/>
    </font>
    <font>
      <b/>
      <sz val="8"/>
      <color theme="1" tint="0.249977111117893"/>
      <name val="Arial"/>
      <family val="2"/>
    </font>
    <font>
      <b/>
      <sz val="11"/>
      <color rgb="FF008080"/>
      <name val="Arial"/>
      <family val="2"/>
    </font>
    <font>
      <b/>
      <sz val="9"/>
      <color rgb="FF002060"/>
      <name val="Arial"/>
      <family val="2"/>
    </font>
    <font>
      <b/>
      <sz val="12"/>
      <color rgb="FFFF3300"/>
      <name val="Arial"/>
      <family val="2"/>
    </font>
    <font>
      <b/>
      <sz val="12"/>
      <color theme="9" tint="-0.499984740745262"/>
      <name val="Arial"/>
      <family val="2"/>
    </font>
    <font>
      <b/>
      <sz val="9"/>
      <color theme="1" tint="0.249977111117893"/>
      <name val="Arial"/>
      <family val="2"/>
    </font>
    <font>
      <sz val="12"/>
      <color theme="9" tint="-0.499984740745262"/>
      <name val="Wingdings"/>
      <charset val="2"/>
    </font>
    <font>
      <sz val="9"/>
      <color theme="0"/>
      <name val="Arial"/>
      <family val="2"/>
    </font>
    <font>
      <sz val="9"/>
      <name val="Arial"/>
      <family val="2"/>
    </font>
    <font>
      <b/>
      <sz val="9"/>
      <color theme="9" tint="-0.499984740745262"/>
      <name val="Arial"/>
      <family val="2"/>
    </font>
    <font>
      <b/>
      <sz val="9"/>
      <color rgb="FF006666"/>
      <name val="Arial"/>
      <family val="2"/>
    </font>
    <font>
      <b/>
      <sz val="14"/>
      <color theme="1" tint="0.14999847407452621"/>
      <name val="Arial"/>
      <family val="2"/>
    </font>
    <font>
      <b/>
      <sz val="11"/>
      <color rgb="FF006666"/>
      <name val="Arial"/>
      <family val="2"/>
    </font>
    <font>
      <b/>
      <sz val="11"/>
      <color rgb="FFFF3300"/>
      <name val="Arial"/>
      <family val="2"/>
    </font>
    <font>
      <b/>
      <sz val="11"/>
      <color theme="1" tint="0.34998626667073579"/>
      <name val="Arial"/>
      <family val="2"/>
    </font>
    <font>
      <b/>
      <i/>
      <sz val="9"/>
      <color theme="9" tint="-0.499984740745262"/>
      <name val="Arial"/>
      <family val="2"/>
    </font>
    <font>
      <b/>
      <sz val="9"/>
      <color theme="0"/>
      <name val="Arial"/>
      <family val="2"/>
    </font>
    <font>
      <b/>
      <sz val="9"/>
      <color theme="0" tint="-0.499984740745262"/>
      <name val="Arial"/>
      <family val="2"/>
    </font>
    <font>
      <b/>
      <sz val="14"/>
      <color theme="1" tint="0.249977111117893"/>
      <name val="Arial"/>
      <family val="2"/>
    </font>
    <font>
      <b/>
      <i/>
      <sz val="9"/>
      <color rgb="FF008080"/>
      <name val="Arial"/>
      <family val="2"/>
    </font>
    <font>
      <b/>
      <i/>
      <sz val="18"/>
      <color theme="9" tint="0.59999389629810485"/>
      <name val="Arial"/>
      <family val="2"/>
    </font>
    <font>
      <b/>
      <i/>
      <sz val="10"/>
      <color rgb="FF002060"/>
      <name val="Wingdings"/>
      <charset val="2"/>
    </font>
    <font>
      <b/>
      <i/>
      <sz val="9"/>
      <color rgb="FF002060"/>
      <name val="Arial"/>
      <family val="2"/>
    </font>
    <font>
      <sz val="9"/>
      <color theme="9" tint="-0.499984740745262"/>
      <name val="Helv"/>
    </font>
    <font>
      <b/>
      <sz val="10"/>
      <color rgb="FF0070C0"/>
      <name val="Arial"/>
      <family val="2"/>
    </font>
    <font>
      <b/>
      <sz val="11"/>
      <color rgb="FF002060"/>
      <name val="Arial"/>
      <family val="2"/>
    </font>
    <font>
      <b/>
      <sz val="10"/>
      <color rgb="FF006666"/>
      <name val="Arial"/>
      <family val="2"/>
    </font>
    <font>
      <b/>
      <sz val="10"/>
      <color theme="1" tint="0.34998626667073579"/>
      <name val="Wingdings"/>
      <charset val="2"/>
    </font>
    <font>
      <b/>
      <sz val="10"/>
      <color theme="1" tint="0.34998626667073579"/>
      <name val="Arial"/>
      <family val="2"/>
      <charset val="2"/>
    </font>
    <font>
      <b/>
      <sz val="10"/>
      <color theme="8" tint="0.79998168889431442"/>
      <name val="Arial"/>
      <family val="2"/>
    </font>
    <font>
      <b/>
      <i/>
      <sz val="18"/>
      <color theme="0"/>
      <name val="Arial"/>
      <family val="2"/>
    </font>
    <font>
      <b/>
      <i/>
      <sz val="18"/>
      <color rgb="FFC00000"/>
      <name val="Arial"/>
      <family val="2"/>
    </font>
    <font>
      <b/>
      <sz val="8"/>
      <color rgb="FF008080"/>
      <name val="Arial"/>
      <family val="2"/>
    </font>
    <font>
      <b/>
      <sz val="12"/>
      <color theme="1" tint="0.34998626667073579"/>
      <name val="Arial"/>
      <family val="2"/>
    </font>
    <font>
      <b/>
      <sz val="11"/>
      <color rgb="FFFF0000"/>
      <name val="Arial"/>
      <family val="2"/>
    </font>
    <font>
      <b/>
      <sz val="16"/>
      <color theme="0"/>
      <name val="Arial"/>
      <family val="2"/>
    </font>
    <font>
      <b/>
      <sz val="18"/>
      <color theme="0"/>
      <name val="Arial"/>
      <family val="2"/>
    </font>
    <font>
      <b/>
      <sz val="14"/>
      <color theme="0"/>
      <name val="Arial"/>
      <family val="2"/>
    </font>
    <font>
      <b/>
      <sz val="11"/>
      <color theme="1" tint="0.14999847407452621"/>
      <name val="Arial"/>
      <family val="2"/>
    </font>
    <font>
      <sz val="11"/>
      <color rgb="FFFF3300"/>
      <name val="Wingdings"/>
      <charset val="2"/>
    </font>
    <font>
      <sz val="9"/>
      <color rgb="FFFF0000"/>
      <name val="Arial"/>
      <family val="2"/>
    </font>
    <font>
      <b/>
      <sz val="9"/>
      <color theme="1" tint="0.34998626667073579"/>
      <name val="Arial"/>
      <family val="2"/>
    </font>
    <font>
      <b/>
      <sz val="11"/>
      <color theme="8" tint="-0.499984740745262"/>
      <name val="Arial"/>
      <family val="2"/>
    </font>
    <font>
      <b/>
      <sz val="12"/>
      <color rgb="FF7030A0"/>
      <name val="Arial"/>
      <family val="2"/>
    </font>
    <font>
      <b/>
      <sz val="14"/>
      <color theme="9" tint="-0.499984740745262"/>
      <name val="Arial"/>
      <family val="2"/>
    </font>
    <font>
      <b/>
      <i/>
      <sz val="12"/>
      <color rgb="FFFFFF00"/>
      <name val="Arial"/>
      <family val="2"/>
    </font>
    <font>
      <b/>
      <sz val="10"/>
      <color rgb="FF7030A0"/>
      <name val="Arial"/>
      <family val="2"/>
    </font>
    <font>
      <b/>
      <sz val="14"/>
      <color rgb="FF7030A0"/>
      <name val="Arial"/>
      <family val="2"/>
    </font>
    <font>
      <b/>
      <sz val="10"/>
      <color rgb="FFFF3300"/>
      <name val="Arial"/>
      <family val="2"/>
    </font>
    <font>
      <b/>
      <sz val="8"/>
      <color theme="0"/>
      <name val="Arial"/>
      <family val="2"/>
    </font>
    <font>
      <b/>
      <i/>
      <sz val="8"/>
      <name val="Arial"/>
      <family val="2"/>
    </font>
    <font>
      <b/>
      <sz val="11"/>
      <color theme="0" tint="-0.499984740745262"/>
      <name val="Arial"/>
      <family val="2"/>
    </font>
    <font>
      <b/>
      <sz val="12"/>
      <color theme="0" tint="-0.499984740745262"/>
      <name val="Arial"/>
      <family val="2"/>
    </font>
    <font>
      <b/>
      <sz val="12"/>
      <color theme="5" tint="-0.249977111117893"/>
      <name val="Arial"/>
      <family val="2"/>
    </font>
    <font>
      <b/>
      <i/>
      <sz val="18"/>
      <color rgb="FF002060"/>
      <name val="Arial"/>
      <family val="2"/>
    </font>
    <font>
      <b/>
      <sz val="10"/>
      <color theme="0" tint="-0.14999847407452621"/>
      <name val="Wingdings"/>
      <charset val="2"/>
    </font>
    <font>
      <b/>
      <sz val="28"/>
      <color rgb="FF002060"/>
      <name val="Arial"/>
      <family val="2"/>
    </font>
    <font>
      <sz val="10"/>
      <color rgb="FF008080"/>
      <name val="Wingdings"/>
      <charset val="2"/>
    </font>
    <font>
      <b/>
      <i/>
      <sz val="10"/>
      <color rgb="FF008080"/>
      <name val="Wingdings"/>
      <charset val="2"/>
    </font>
    <font>
      <b/>
      <sz val="10"/>
      <color theme="0"/>
      <name val="Wingdings"/>
      <charset val="2"/>
    </font>
    <font>
      <b/>
      <i/>
      <sz val="10"/>
      <color theme="0" tint="-0.14999847407452621"/>
      <name val="Arial"/>
      <family val="2"/>
    </font>
    <font>
      <u/>
      <sz val="9"/>
      <color theme="1" tint="0.14999847407452621"/>
      <name val="Arial"/>
      <family val="2"/>
    </font>
    <font>
      <u/>
      <sz val="10"/>
      <color theme="1" tint="0.14999847407452621"/>
      <name val="Arial"/>
      <family val="2"/>
    </font>
    <font>
      <b/>
      <sz val="11"/>
      <color rgb="FFC00000"/>
      <name val="Arial"/>
      <family val="2"/>
    </font>
    <font>
      <b/>
      <i/>
      <sz val="12"/>
      <color theme="6" tint="0.39997558519241921"/>
      <name val="Arial"/>
      <family val="2"/>
    </font>
    <font>
      <sz val="11"/>
      <color theme="0"/>
      <name val="Wingdings"/>
      <charset val="2"/>
    </font>
    <font>
      <b/>
      <sz val="10"/>
      <color rgb="FFC00000"/>
      <name val="Arial"/>
      <family val="2"/>
    </font>
    <font>
      <b/>
      <sz val="12"/>
      <color rgb="FFC00000"/>
      <name val="Arial"/>
      <family val="2"/>
    </font>
    <font>
      <b/>
      <sz val="14"/>
      <color rgb="FFC00000"/>
      <name val="Arial"/>
      <family val="2"/>
    </font>
    <font>
      <b/>
      <sz val="10"/>
      <color theme="8" tint="-0.499984740745262"/>
      <name val="Arial"/>
      <family val="2"/>
    </font>
    <font>
      <b/>
      <sz val="10"/>
      <color theme="8" tint="-0.249977111117893"/>
      <name val="Arial"/>
      <family val="2"/>
    </font>
    <font>
      <b/>
      <sz val="9"/>
      <color theme="8" tint="-0.249977111117893"/>
      <name val="Arial"/>
      <family val="2"/>
    </font>
    <font>
      <b/>
      <sz val="8"/>
      <color theme="8" tint="-0.249977111117893"/>
      <name val="Arial"/>
      <family val="2"/>
    </font>
    <font>
      <b/>
      <sz val="10"/>
      <color theme="0" tint="-0.499984740745262"/>
      <name val="Arial"/>
      <family val="2"/>
    </font>
    <font>
      <b/>
      <sz val="10"/>
      <color rgb="FF3F3F76"/>
      <name val="Arial"/>
      <family val="2"/>
    </font>
    <font>
      <sz val="8"/>
      <color rgb="FFC00000"/>
      <name val="Arial"/>
      <family val="2"/>
    </font>
    <font>
      <sz val="10"/>
      <color rgb="FFC00000"/>
      <name val="Arial"/>
      <family val="2"/>
    </font>
    <font>
      <sz val="8"/>
      <color theme="1" tint="0.249977111117893"/>
      <name val="Arial"/>
      <family val="2"/>
    </font>
    <font>
      <b/>
      <sz val="9"/>
      <color theme="0" tint="-0.34998626667073579"/>
      <name val="Arial"/>
      <family val="2"/>
    </font>
    <font>
      <b/>
      <i/>
      <sz val="8"/>
      <color theme="0" tint="-0.14999847407452621"/>
      <name val="Arial"/>
      <family val="2"/>
    </font>
    <font>
      <sz val="10"/>
      <color rgb="FFFF3300"/>
      <name val="Arial"/>
      <family val="2"/>
    </font>
    <font>
      <b/>
      <i/>
      <sz val="18"/>
      <color theme="7" tint="0.59999389629810485"/>
      <name val="Arial"/>
      <family val="2"/>
    </font>
    <font>
      <b/>
      <i/>
      <sz val="18"/>
      <color theme="6" tint="0.59999389629810485"/>
      <name val="Arial"/>
      <family val="2"/>
    </font>
    <font>
      <b/>
      <i/>
      <sz val="11"/>
      <color rgb="FF006666"/>
      <name val="Arial"/>
      <family val="2"/>
    </font>
    <font>
      <b/>
      <i/>
      <sz val="11"/>
      <color rgb="FF7030A0"/>
      <name val="Arial"/>
      <family val="2"/>
    </font>
    <font>
      <b/>
      <i/>
      <sz val="10"/>
      <color rgb="FF7030A0"/>
      <name val="Arial"/>
      <family val="2"/>
    </font>
    <font>
      <b/>
      <i/>
      <sz val="10"/>
      <color rgb="FFC00000"/>
      <name val="Arial"/>
      <family val="2"/>
    </font>
    <font>
      <b/>
      <sz val="8"/>
      <color rgb="FF006666"/>
      <name val="Arial"/>
      <family val="2"/>
    </font>
    <font>
      <b/>
      <sz val="6"/>
      <color theme="0"/>
      <name val="Arial"/>
      <family val="2"/>
    </font>
    <font>
      <sz val="8"/>
      <color rgb="FFFF0000"/>
      <name val="Arial"/>
      <family val="2"/>
    </font>
    <font>
      <sz val="6"/>
      <color theme="0"/>
      <name val="Arial"/>
      <family val="2"/>
    </font>
    <font>
      <b/>
      <i/>
      <sz val="8"/>
      <color rgb="FFFF0000"/>
      <name val="Arial"/>
      <family val="2"/>
    </font>
    <font>
      <b/>
      <i/>
      <sz val="9"/>
      <color theme="1" tint="0.249977111117893"/>
      <name val="Arial"/>
      <family val="2"/>
    </font>
    <font>
      <b/>
      <sz val="8"/>
      <color theme="0" tint="-0.499984740745262"/>
      <name val="Arial"/>
      <family val="2"/>
    </font>
    <font>
      <b/>
      <sz val="9"/>
      <color indexed="81"/>
      <name val="Arial"/>
      <family val="2"/>
    </font>
    <font>
      <b/>
      <sz val="16"/>
      <color rgb="FF006666"/>
      <name val="Arial"/>
      <family val="2"/>
    </font>
    <font>
      <b/>
      <sz val="18"/>
      <color rgb="FF002060"/>
      <name val="Arial"/>
      <family val="2"/>
    </font>
    <font>
      <b/>
      <sz val="8"/>
      <color theme="0" tint="-0.34998626667073579"/>
      <name val="Arial"/>
      <family val="2"/>
    </font>
    <font>
      <sz val="18"/>
      <color theme="0"/>
      <name val="Arial"/>
      <family val="2"/>
    </font>
    <font>
      <b/>
      <i/>
      <sz val="12"/>
      <color rgb="FFFF0000"/>
      <name val="Arial"/>
      <family val="2"/>
    </font>
    <font>
      <b/>
      <sz val="9"/>
      <color theme="8" tint="-0.499984740745262"/>
      <name val="Arial"/>
      <family val="2"/>
    </font>
    <font>
      <b/>
      <i/>
      <sz val="16"/>
      <color theme="2" tint="-0.749992370372631"/>
      <name val="Arial"/>
      <family val="2"/>
    </font>
    <font>
      <b/>
      <sz val="8"/>
      <color theme="1" tint="0.34998626667073579"/>
      <name val="Arial"/>
      <family val="2"/>
    </font>
    <font>
      <b/>
      <sz val="10"/>
      <color theme="0" tint="-0.14999847407452621"/>
      <name val="Arial"/>
      <family val="2"/>
    </font>
    <font>
      <b/>
      <sz val="12"/>
      <color theme="1" tint="0.499984740745262"/>
      <name val="Arial"/>
      <family val="2"/>
    </font>
    <font>
      <b/>
      <i/>
      <sz val="10"/>
      <color rgb="FF006666"/>
      <name val="Arial"/>
      <family val="2"/>
    </font>
    <font>
      <b/>
      <i/>
      <sz val="11"/>
      <color rgb="FFC00000"/>
      <name val="Arial"/>
      <family val="2"/>
    </font>
    <font>
      <b/>
      <sz val="10"/>
      <color theme="7" tint="-0.249977111117893"/>
      <name val="Arial"/>
      <family val="2"/>
    </font>
    <font>
      <sz val="8"/>
      <name val="Helv"/>
    </font>
    <font>
      <b/>
      <sz val="8"/>
      <color theme="0" tint="-0.14999847407452621"/>
      <name val="Arial"/>
      <family val="2"/>
    </font>
    <font>
      <sz val="8"/>
      <color theme="0" tint="-0.14999847407452621"/>
      <name val="Wingdings"/>
      <charset val="2"/>
    </font>
    <font>
      <b/>
      <sz val="8"/>
      <color indexed="8"/>
      <name val="Arial"/>
      <family val="2"/>
    </font>
    <font>
      <b/>
      <sz val="10"/>
      <color rgb="FF002060"/>
      <name val="Wingdings"/>
      <charset val="2"/>
    </font>
    <font>
      <b/>
      <sz val="8"/>
      <color theme="0" tint="-4.9989318521683403E-2"/>
      <name val="Arial"/>
      <family val="2"/>
    </font>
    <font>
      <sz val="8"/>
      <color rgb="FF006666"/>
      <name val="Arial"/>
      <family val="2"/>
    </font>
    <font>
      <b/>
      <sz val="11"/>
      <color theme="1" tint="0.249977111117893"/>
      <name val="Arial"/>
      <family val="2"/>
    </font>
    <font>
      <b/>
      <sz val="11"/>
      <color theme="0"/>
      <name val="Arial"/>
      <family val="2"/>
    </font>
    <font>
      <b/>
      <i/>
      <sz val="9"/>
      <color rgb="FF7030A0"/>
      <name val="Arial"/>
      <family val="2"/>
    </font>
    <font>
      <b/>
      <i/>
      <sz val="11"/>
      <color rgb="FFFFFF00"/>
      <name val="Arial"/>
      <family val="2"/>
    </font>
    <font>
      <b/>
      <sz val="11"/>
      <color rgb="FFFFFF00"/>
      <name val="Arial"/>
      <family val="2"/>
    </font>
    <font>
      <b/>
      <sz val="9"/>
      <color theme="0" tint="-4.9989318521683403E-2"/>
      <name val="Arial"/>
      <family val="2"/>
    </font>
    <font>
      <b/>
      <sz val="10"/>
      <color theme="8" tint="-0.499984740745262"/>
      <name val="Wingdings"/>
      <charset val="2"/>
    </font>
    <font>
      <b/>
      <sz val="6"/>
      <color theme="0" tint="-0.499984740745262"/>
      <name val="Arial"/>
      <family val="2"/>
    </font>
    <font>
      <b/>
      <sz val="12"/>
      <color rgb="FF002060"/>
      <name val="Helv"/>
    </font>
    <font>
      <b/>
      <sz val="9"/>
      <color rgb="FFC00000"/>
      <name val="Arial"/>
      <family val="2"/>
    </font>
    <font>
      <b/>
      <sz val="11"/>
      <color theme="9" tint="-0.499984740745262"/>
      <name val="Arial"/>
      <family val="2"/>
    </font>
    <font>
      <b/>
      <sz val="16"/>
      <color rgb="FFC00000"/>
      <name val="Arial"/>
      <family val="2"/>
    </font>
    <font>
      <b/>
      <i/>
      <sz val="18"/>
      <color theme="0" tint="-0.499984740745262"/>
      <name val="Arial"/>
      <family val="2"/>
    </font>
    <font>
      <b/>
      <sz val="8"/>
      <color rgb="FFC00000"/>
      <name val="Arial"/>
      <family val="2"/>
    </font>
    <font>
      <b/>
      <i/>
      <sz val="8"/>
      <color rgb="FFC00000"/>
      <name val="Arial"/>
      <family val="2"/>
    </font>
    <font>
      <b/>
      <sz val="8"/>
      <color theme="8" tint="-0.499984740745262"/>
      <name val="Arial"/>
      <family val="2"/>
    </font>
    <font>
      <b/>
      <sz val="8"/>
      <color theme="8" tint="-0.499984740745262"/>
      <name val="Wingdings"/>
      <charset val="2"/>
    </font>
    <font>
      <b/>
      <sz val="16"/>
      <color rgb="FF002060"/>
      <name val="Arial"/>
      <family val="2"/>
    </font>
    <font>
      <b/>
      <sz val="8"/>
      <color rgb="FFFFFF00"/>
      <name val="Arial"/>
      <family val="2"/>
    </font>
    <font>
      <b/>
      <sz val="14"/>
      <color theme="0" tint="-0.499984740745262"/>
      <name val="Arial"/>
      <family val="2"/>
    </font>
    <font>
      <b/>
      <i/>
      <sz val="10"/>
      <color theme="0" tint="-0.499984740745262"/>
      <name val="Arial"/>
      <family val="2"/>
    </font>
    <font>
      <sz val="8"/>
      <color indexed="23"/>
      <name val="Arial"/>
      <family val="2"/>
    </font>
    <font>
      <sz val="8"/>
      <color indexed="63"/>
      <name val="Arial"/>
      <family val="2"/>
    </font>
    <font>
      <sz val="8"/>
      <color indexed="21"/>
      <name val="Arial"/>
      <family val="2"/>
    </font>
    <font>
      <b/>
      <sz val="6"/>
      <color rgb="FFC00000"/>
      <name val="Arial"/>
      <family val="2"/>
    </font>
    <font>
      <b/>
      <sz val="6"/>
      <color rgb="FFC00000"/>
      <name val="Helv"/>
    </font>
    <font>
      <b/>
      <i/>
      <sz val="14"/>
      <color rgb="FFC00000"/>
      <name val="Arial"/>
      <family val="2"/>
    </font>
    <font>
      <b/>
      <sz val="8"/>
      <color rgb="FFC00000"/>
      <name val="Helv"/>
    </font>
    <font>
      <b/>
      <i/>
      <sz val="8"/>
      <color rgb="FF7030A0"/>
      <name val="Arial"/>
      <family val="2"/>
    </font>
    <font>
      <b/>
      <i/>
      <sz val="9"/>
      <color theme="0" tint="-0.499984740745262"/>
      <name val="Arial"/>
      <family val="2"/>
    </font>
    <font>
      <b/>
      <sz val="9"/>
      <color theme="7" tint="-0.249977111117893"/>
      <name val="Arial"/>
      <family val="2"/>
    </font>
    <font>
      <b/>
      <sz val="9"/>
      <color rgb="FF008080"/>
      <name val="Arial"/>
      <family val="2"/>
    </font>
    <font>
      <b/>
      <sz val="16"/>
      <name val="Arial"/>
      <family val="2"/>
    </font>
    <font>
      <b/>
      <sz val="6"/>
      <color rgb="FF002060"/>
      <name val="Arial"/>
      <family val="2"/>
    </font>
    <font>
      <b/>
      <u/>
      <sz val="10"/>
      <color rgb="FFC00000"/>
      <name val="Arial"/>
      <family val="2"/>
    </font>
    <font>
      <b/>
      <sz val="6"/>
      <color rgb="FFFFFF00"/>
      <name val="Arial"/>
      <family val="2"/>
    </font>
    <font>
      <sz val="8"/>
      <color indexed="57"/>
      <name val="Arial"/>
      <family val="2"/>
    </font>
    <font>
      <b/>
      <i/>
      <sz val="8"/>
      <color theme="0"/>
      <name val="Arial"/>
      <family val="2"/>
    </font>
    <font>
      <b/>
      <i/>
      <sz val="10"/>
      <color theme="0" tint="-0.499984740745262"/>
      <name val="Wingdings"/>
      <charset val="2"/>
    </font>
    <font>
      <b/>
      <i/>
      <sz val="6"/>
      <color rgb="FF006666"/>
      <name val="Arial"/>
      <family val="2"/>
    </font>
    <font>
      <b/>
      <sz val="6"/>
      <color rgb="FF006666"/>
      <name val="Arial"/>
      <family val="2"/>
    </font>
    <font>
      <b/>
      <sz val="8"/>
      <color theme="8" tint="-0.499984740745262"/>
      <name val="Arial"/>
      <family val="2"/>
      <charset val="2"/>
    </font>
    <font>
      <b/>
      <i/>
      <sz val="8"/>
      <color theme="8" tint="-0.499984740745262"/>
      <name val="Arial"/>
      <family val="2"/>
      <charset val="2"/>
    </font>
    <font>
      <b/>
      <i/>
      <sz val="8"/>
      <color theme="8" tint="-0.499984740745262"/>
      <name val="Wingdings"/>
      <charset val="2"/>
    </font>
    <font>
      <b/>
      <i/>
      <sz val="8"/>
      <color theme="8" tint="-0.499984740745262"/>
      <name val="Arial"/>
      <family val="2"/>
    </font>
    <font>
      <b/>
      <i/>
      <sz val="8"/>
      <color theme="0" tint="-0.499984740745262"/>
      <name val="Arial"/>
      <family val="2"/>
    </font>
    <font>
      <sz val="12"/>
      <color theme="0" tint="-0.499984740745262"/>
      <name val="Wingdings"/>
      <charset val="2"/>
    </font>
    <font>
      <sz val="11"/>
      <color theme="0" tint="-0.499984740745262"/>
      <name val="Arial"/>
      <family val="2"/>
    </font>
    <font>
      <b/>
      <sz val="9"/>
      <color rgb="FF7030A0"/>
      <name val="Arial"/>
      <family val="2"/>
    </font>
    <font>
      <b/>
      <sz val="11"/>
      <color rgb="FF7030A0"/>
      <name val="Arial"/>
      <family val="2"/>
    </font>
    <font>
      <b/>
      <sz val="11"/>
      <color indexed="21"/>
      <name val="Arial"/>
      <family val="2"/>
    </font>
    <font>
      <b/>
      <sz val="22"/>
      <color theme="9" tint="-0.499984740745262"/>
      <name val="Arial"/>
      <family val="2"/>
    </font>
    <font>
      <b/>
      <sz val="22"/>
      <color rgb="FF002060"/>
      <name val="Arial"/>
      <family val="2"/>
    </font>
    <font>
      <u/>
      <sz val="8"/>
      <name val="Arial"/>
      <family val="2"/>
    </font>
    <font>
      <sz val="11"/>
      <color theme="0" tint="-0.499984740745262"/>
      <name val="Wingdings"/>
      <charset val="2"/>
    </font>
    <font>
      <b/>
      <sz val="22"/>
      <color rgb="FF006666"/>
      <name val="Arial"/>
      <family val="2"/>
    </font>
    <font>
      <sz val="11"/>
      <color rgb="FF008080"/>
      <name val="Arial"/>
      <family val="2"/>
    </font>
    <font>
      <b/>
      <i/>
      <u/>
      <sz val="10"/>
      <color rgb="FFC00000"/>
      <name val="Arial"/>
      <family val="2"/>
    </font>
    <font>
      <sz val="16"/>
      <color rgb="FFC00000"/>
      <name val="Algerian"/>
      <family val="5"/>
    </font>
    <font>
      <sz val="20"/>
      <color rgb="FFC00000"/>
      <name val="Algerian"/>
      <family val="5"/>
    </font>
    <font>
      <sz val="12"/>
      <color rgb="FF006666"/>
      <name val="Algerian"/>
      <family val="5"/>
    </font>
    <font>
      <sz val="8"/>
      <color rgb="FF006666"/>
      <name val="Algerian"/>
      <family val="5"/>
    </font>
    <font>
      <sz val="6"/>
      <color theme="0" tint="-0.499984740745262"/>
      <name val="Arial"/>
      <family val="2"/>
    </font>
    <font>
      <sz val="6"/>
      <color indexed="23" tint="-0.499984740745262"/>
      <name val="Arial"/>
      <family val="2"/>
    </font>
    <font>
      <sz val="6"/>
      <color indexed="23"/>
      <name val="Arial"/>
      <family val="2"/>
    </font>
    <font>
      <sz val="8"/>
      <color theme="0" tint="-0.499984740745262"/>
      <name val="Arial"/>
      <family val="2"/>
    </font>
    <font>
      <u/>
      <sz val="8"/>
      <color theme="8" tint="-0.499984740745262"/>
      <name val="Arial"/>
      <family val="2"/>
    </font>
    <font>
      <i/>
      <sz val="8"/>
      <color rgb="FFC00000"/>
      <name val="Arial"/>
      <family val="2"/>
    </font>
    <font>
      <sz val="12"/>
      <color rgb="FFC00000"/>
      <name val="Arial"/>
      <family val="2"/>
    </font>
    <font>
      <sz val="8"/>
      <color theme="8" tint="-0.499984740745262"/>
      <name val="Arial"/>
      <family val="2"/>
    </font>
    <font>
      <sz val="8"/>
      <color theme="8" tint="-0.499984740745262"/>
      <name val="Wingdings"/>
      <charset val="2"/>
    </font>
    <font>
      <sz val="14"/>
      <color rgb="FF002060"/>
      <name val="Arial"/>
      <family val="2"/>
    </font>
    <font>
      <sz val="8"/>
      <color rgb="FFC00000"/>
      <name val="Wingdings"/>
      <charset val="2"/>
    </font>
    <font>
      <i/>
      <sz val="8"/>
      <color rgb="FF969696"/>
      <name val="Arial"/>
      <family val="2"/>
    </font>
    <font>
      <i/>
      <sz val="8"/>
      <color theme="0" tint="-0.34998626667073579"/>
      <name val="Arial"/>
      <family val="2"/>
    </font>
    <font>
      <sz val="10"/>
      <color rgb="FF002060"/>
      <name val="Arial"/>
      <family val="2"/>
    </font>
    <font>
      <u/>
      <sz val="8"/>
      <color rgb="FFC00000"/>
      <name val="Arial"/>
      <family val="2"/>
    </font>
    <font>
      <sz val="8"/>
      <color rgb="FF002060"/>
      <name val="Arial"/>
      <family val="2"/>
    </font>
    <font>
      <sz val="9"/>
      <color rgb="FFC00000"/>
      <name val="Arial"/>
      <family val="2"/>
    </font>
    <font>
      <u/>
      <sz val="9"/>
      <color rgb="FFC00000"/>
      <name val="Arial"/>
      <family val="2"/>
    </font>
    <font>
      <i/>
      <sz val="6"/>
      <color rgb="FF006666"/>
      <name val="Arial"/>
      <family val="2"/>
    </font>
    <font>
      <sz val="6"/>
      <color rgb="FF006666"/>
      <name val="Arial"/>
      <family val="2"/>
    </font>
    <font>
      <sz val="6"/>
      <color rgb="FF002060"/>
      <name val="Arial"/>
      <family val="2"/>
    </font>
    <font>
      <i/>
      <sz val="8"/>
      <color theme="0"/>
      <name val="Arial"/>
      <family val="2"/>
    </font>
    <font>
      <sz val="8"/>
      <color rgb="FF7030A0"/>
      <name val="Arial"/>
      <family val="2"/>
    </font>
    <font>
      <u/>
      <sz val="8"/>
      <color rgb="FF7030A0"/>
      <name val="Arial"/>
      <family val="2"/>
    </font>
    <font>
      <b/>
      <sz val="8"/>
      <color theme="1"/>
      <name val="Arial"/>
      <family val="2"/>
    </font>
    <font>
      <b/>
      <sz val="10"/>
      <color theme="7"/>
      <name val="Arial"/>
      <family val="2"/>
    </font>
    <font>
      <b/>
      <i/>
      <sz val="12"/>
      <color rgb="FF002060"/>
      <name val="Arial"/>
      <family val="2"/>
    </font>
    <font>
      <b/>
      <i/>
      <sz val="9"/>
      <color rgb="FFC00000"/>
      <name val="Arial"/>
      <family val="2"/>
    </font>
    <font>
      <b/>
      <sz val="10"/>
      <color theme="9" tint="0.79998168889431442"/>
      <name val="Arial"/>
      <family val="2"/>
    </font>
    <font>
      <b/>
      <sz val="8"/>
      <color theme="9" tint="-0.499984740745262"/>
      <name val="Arial"/>
      <family val="2"/>
    </font>
    <font>
      <b/>
      <sz val="11"/>
      <color theme="5"/>
      <name val="Arial"/>
      <family val="2"/>
    </font>
    <font>
      <b/>
      <sz val="10"/>
      <color theme="5"/>
      <name val="Arial"/>
      <family val="2"/>
    </font>
    <font>
      <sz val="10"/>
      <color theme="5"/>
      <name val="Arial"/>
      <family val="2"/>
    </font>
    <font>
      <b/>
      <sz val="9"/>
      <color theme="5"/>
      <name val="Arial"/>
      <family val="2"/>
    </font>
    <font>
      <sz val="8"/>
      <color theme="0"/>
      <name val="Algerian"/>
      <family val="5"/>
    </font>
    <font>
      <b/>
      <sz val="12"/>
      <color theme="9" tint="-0.499984740745262"/>
      <name val="Wingdings"/>
      <charset val="2"/>
    </font>
    <font>
      <b/>
      <i/>
      <sz val="14"/>
      <color rgb="FF006666"/>
      <name val="Arial"/>
      <family val="2"/>
    </font>
    <font>
      <sz val="11"/>
      <color rgb="FF660066"/>
      <name val="Arial"/>
      <family val="2"/>
    </font>
    <font>
      <b/>
      <i/>
      <sz val="14"/>
      <color rgb="FF660066"/>
      <name val="Arial"/>
      <family val="2"/>
    </font>
    <font>
      <b/>
      <sz val="10"/>
      <color rgb="FF660066"/>
      <name val="Arial"/>
      <family val="2"/>
    </font>
    <font>
      <b/>
      <sz val="11"/>
      <color rgb="FF660066"/>
      <name val="Arial"/>
      <family val="2"/>
    </font>
    <font>
      <b/>
      <i/>
      <sz val="10"/>
      <color rgb="FF660066"/>
      <name val="Arial"/>
      <family val="2"/>
    </font>
    <font>
      <b/>
      <i/>
      <sz val="11"/>
      <color rgb="FF660066"/>
      <name val="Arial"/>
      <family val="2"/>
    </font>
    <font>
      <b/>
      <sz val="10"/>
      <color theme="0" tint="-0.34998626667073579"/>
      <name val="Arial"/>
      <family val="2"/>
    </font>
    <font>
      <sz val="12"/>
      <color rgb="FF006666"/>
      <name val="Wingdings"/>
      <charset val="2"/>
    </font>
    <font>
      <u/>
      <sz val="12"/>
      <color rgb="FF7030A0"/>
      <name val="Wingdings"/>
      <charset val="2"/>
    </font>
    <font>
      <b/>
      <i/>
      <sz val="10"/>
      <color theme="0" tint="-0.34998626667073579"/>
      <name val="Arial"/>
      <family val="2"/>
    </font>
  </fonts>
  <fills count="39">
    <fill>
      <patternFill patternType="none"/>
    </fill>
    <fill>
      <patternFill patternType="gray125"/>
    </fill>
    <fill>
      <patternFill patternType="solid">
        <fgColor indexed="55"/>
        <bgColor indexed="64"/>
      </patternFill>
    </fill>
    <fill>
      <patternFill patternType="solid">
        <fgColor rgb="FFFFEB9C"/>
      </patternFill>
    </fill>
    <fill>
      <patternFill patternType="solid">
        <fgColor rgb="FFFFCC99"/>
      </patternFill>
    </fill>
    <fill>
      <patternFill patternType="solid">
        <fgColor theme="0" tint="-0.34998626667073579"/>
        <bgColor indexed="64"/>
      </patternFill>
    </fill>
    <fill>
      <patternFill patternType="solid">
        <fgColor theme="0" tint="-0.249977111117893"/>
        <bgColor indexed="64"/>
      </patternFill>
    </fill>
    <fill>
      <patternFill patternType="solid">
        <fgColor theme="0"/>
        <bgColor indexed="64"/>
      </patternFill>
    </fill>
    <fill>
      <patternFill patternType="solid">
        <fgColor theme="9" tint="0.39997558519241921"/>
        <bgColor indexed="64"/>
      </patternFill>
    </fill>
    <fill>
      <patternFill patternType="solid">
        <fgColor rgb="FFFFC7CE"/>
      </patternFill>
    </fill>
    <fill>
      <patternFill patternType="solid">
        <fgColor theme="8" tint="0.39997558519241921"/>
        <bgColor indexed="64"/>
      </patternFill>
    </fill>
    <fill>
      <patternFill patternType="solid">
        <fgColor theme="8" tint="-0.249977111117893"/>
        <bgColor indexed="64"/>
      </patternFill>
    </fill>
    <fill>
      <patternFill patternType="solid">
        <fgColor theme="6" tint="-0.249977111117893"/>
        <bgColor indexed="64"/>
      </patternFill>
    </fill>
    <fill>
      <patternFill patternType="solid">
        <fgColor theme="9" tint="-0.249977111117893"/>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theme="6" tint="0.59999389629810485"/>
        <bgColor indexed="64"/>
      </patternFill>
    </fill>
    <fill>
      <patternFill patternType="solid">
        <fgColor rgb="FFFFFFCC"/>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theme="5"/>
        <bgColor indexed="64"/>
      </patternFill>
    </fill>
    <fill>
      <patternFill patternType="solid">
        <fgColor theme="6" tint="0.59996337778862885"/>
        <bgColor indexed="64"/>
      </patternFill>
    </fill>
    <fill>
      <patternFill patternType="solid">
        <fgColor theme="0" tint="-4.9989318521683403E-2"/>
        <bgColor indexed="64"/>
      </patternFill>
    </fill>
    <fill>
      <patternFill patternType="solid">
        <fgColor theme="0" tint="-0.499984740745262"/>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7" tint="0.59999389629810485"/>
        <bgColor indexed="64"/>
      </patternFill>
    </fill>
    <fill>
      <patternFill patternType="solid">
        <fgColor rgb="FF969696"/>
        <bgColor indexed="64"/>
      </patternFill>
    </fill>
    <fill>
      <patternFill patternType="solid">
        <fgColor theme="1" tint="0.499984740745262"/>
        <bgColor indexed="64"/>
      </patternFill>
    </fill>
    <fill>
      <patternFill patternType="solid">
        <fgColor theme="7" tint="0.79998168889431442"/>
        <bgColor indexed="64"/>
      </patternFill>
    </fill>
    <fill>
      <patternFill patternType="solid">
        <fgColor rgb="FFFFCC99"/>
        <bgColor indexed="64"/>
      </patternFill>
    </fill>
    <fill>
      <patternFill patternType="solid">
        <fgColor theme="7" tint="0.39997558519241921"/>
        <bgColor indexed="64"/>
      </patternFill>
    </fill>
    <fill>
      <patternFill patternType="solid">
        <fgColor rgb="FFC00000"/>
        <bgColor indexed="64"/>
      </patternFill>
    </fill>
    <fill>
      <patternFill patternType="solid">
        <fgColor theme="8" tint="-0.499984740745262"/>
        <bgColor indexed="64"/>
      </patternFill>
    </fill>
    <fill>
      <patternFill patternType="solid">
        <fgColor rgb="FFFFFF99"/>
        <bgColor indexed="64"/>
      </patternFill>
    </fill>
    <fill>
      <patternFill patternType="solid">
        <fgColor theme="5" tint="0.59999389629810485"/>
        <bgColor indexed="64"/>
      </patternFill>
    </fill>
    <fill>
      <patternFill patternType="solid">
        <fgColor rgb="FFFF9966"/>
        <bgColor indexed="64"/>
      </patternFill>
    </fill>
    <fill>
      <patternFill patternType="solid">
        <fgColor theme="4"/>
      </patternFill>
    </fill>
    <fill>
      <patternFill patternType="solid">
        <fgColor theme="5" tint="0.79998168889431442"/>
        <bgColor indexed="64"/>
      </patternFill>
    </fill>
  </fills>
  <borders count="431">
    <border>
      <left/>
      <right/>
      <top/>
      <bottom/>
      <diagonal/>
    </border>
    <border>
      <left style="double">
        <color indexed="8"/>
      </left>
      <right/>
      <top/>
      <bottom/>
      <diagonal/>
    </border>
    <border>
      <left/>
      <right style="double">
        <color indexed="8"/>
      </right>
      <top/>
      <bottom/>
      <diagonal/>
    </border>
    <border>
      <left/>
      <right style="double">
        <color indexed="8"/>
      </right>
      <top/>
      <bottom style="double">
        <color indexed="8"/>
      </bottom>
      <diagonal/>
    </border>
    <border>
      <left style="double">
        <color indexed="8"/>
      </left>
      <right/>
      <top/>
      <bottom style="thin">
        <color indexed="8"/>
      </bottom>
      <diagonal/>
    </border>
    <border>
      <left/>
      <right style="thin">
        <color indexed="64"/>
      </right>
      <top/>
      <bottom/>
      <diagonal/>
    </border>
    <border>
      <left/>
      <right/>
      <top/>
      <bottom style="thin">
        <color indexed="8"/>
      </bottom>
      <diagonal/>
    </border>
    <border>
      <left style="double">
        <color indexed="8"/>
      </left>
      <right style="thin">
        <color indexed="8"/>
      </right>
      <top/>
      <bottom style="thin">
        <color indexed="8"/>
      </bottom>
      <diagonal/>
    </border>
    <border>
      <left style="thin">
        <color rgb="FF7F7F7F"/>
      </left>
      <right style="thin">
        <color rgb="FF7F7F7F"/>
      </right>
      <top style="thin">
        <color rgb="FF7F7F7F"/>
      </top>
      <bottom style="thin">
        <color rgb="FF7F7F7F"/>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double">
        <color indexed="64"/>
      </left>
      <right style="double">
        <color indexed="8"/>
      </right>
      <top style="thin">
        <color auto="1"/>
      </top>
      <bottom style="thin">
        <color auto="1"/>
      </bottom>
      <diagonal/>
    </border>
    <border>
      <left style="double">
        <color auto="1"/>
      </left>
      <right style="double">
        <color auto="1"/>
      </right>
      <top style="thin">
        <color auto="1"/>
      </top>
      <bottom style="thin">
        <color auto="1"/>
      </bottom>
      <diagonal/>
    </border>
    <border>
      <left style="double">
        <color indexed="8"/>
      </left>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style="double">
        <color indexed="8"/>
      </left>
      <right/>
      <top/>
      <bottom style="double">
        <color indexed="8"/>
      </bottom>
      <diagonal/>
    </border>
    <border>
      <left style="double">
        <color indexed="8"/>
      </left>
      <right/>
      <top style="double">
        <color indexed="8"/>
      </top>
      <bottom style="double">
        <color indexed="64"/>
      </bottom>
      <diagonal/>
    </border>
    <border>
      <left style="thin">
        <color indexed="64"/>
      </left>
      <right/>
      <top/>
      <bottom/>
      <diagonal/>
    </border>
    <border>
      <left/>
      <right/>
      <top style="thin">
        <color auto="1"/>
      </top>
      <bottom/>
      <diagonal/>
    </border>
    <border>
      <left/>
      <right/>
      <top style="double">
        <color indexed="64"/>
      </top>
      <bottom style="double">
        <color indexed="64"/>
      </bottom>
      <diagonal/>
    </border>
    <border>
      <left style="double">
        <color indexed="8"/>
      </left>
      <right style="double">
        <color indexed="8"/>
      </right>
      <top/>
      <bottom/>
      <diagonal/>
    </border>
    <border>
      <left style="thin">
        <color auto="1"/>
      </left>
      <right/>
      <top style="thin">
        <color auto="1"/>
      </top>
      <bottom style="thin">
        <color auto="1"/>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auto="1"/>
      </top>
      <bottom style="thin">
        <color auto="1"/>
      </bottom>
      <diagonal/>
    </border>
    <border>
      <left/>
      <right style="thin">
        <color indexed="64"/>
      </right>
      <top style="thin">
        <color indexed="64"/>
      </top>
      <bottom style="thin">
        <color indexed="64"/>
      </bottom>
      <diagonal/>
    </border>
    <border>
      <left/>
      <right/>
      <top/>
      <bottom style="double">
        <color indexed="64"/>
      </bottom>
      <diagonal/>
    </border>
    <border>
      <left/>
      <right style="double">
        <color auto="1"/>
      </right>
      <top/>
      <bottom style="double">
        <color auto="1"/>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double">
        <color indexed="8"/>
      </left>
      <right style="double">
        <color indexed="8"/>
      </right>
      <top/>
      <bottom style="double">
        <color indexed="64"/>
      </bottom>
      <diagonal/>
    </border>
    <border>
      <left style="double">
        <color indexed="8"/>
      </left>
      <right style="double">
        <color indexed="8"/>
      </right>
      <top style="double">
        <color indexed="64"/>
      </top>
      <bottom/>
      <diagonal/>
    </border>
    <border>
      <left style="thin">
        <color auto="1"/>
      </left>
      <right/>
      <top/>
      <bottom style="double">
        <color indexed="64"/>
      </bottom>
      <diagonal/>
    </border>
    <border>
      <left/>
      <right style="double">
        <color indexed="8"/>
      </right>
      <top/>
      <bottom style="double">
        <color indexed="64"/>
      </bottom>
      <diagonal/>
    </border>
    <border>
      <left style="double">
        <color indexed="64"/>
      </left>
      <right/>
      <top style="double">
        <color indexed="64"/>
      </top>
      <bottom/>
      <diagonal/>
    </border>
    <border>
      <left style="double">
        <color indexed="64"/>
      </left>
      <right/>
      <top/>
      <bottom style="double">
        <color indexed="64"/>
      </bottom>
      <diagonal/>
    </border>
    <border>
      <left style="thin">
        <color auto="1"/>
      </left>
      <right/>
      <top style="double">
        <color indexed="64"/>
      </top>
      <bottom/>
      <diagonal/>
    </border>
    <border>
      <left/>
      <right/>
      <top style="double">
        <color indexed="64"/>
      </top>
      <bottom/>
      <diagonal/>
    </border>
    <border>
      <left/>
      <right style="double">
        <color auto="1"/>
      </right>
      <top style="double">
        <color indexed="64"/>
      </top>
      <bottom/>
      <diagonal/>
    </border>
    <border>
      <left style="double">
        <color indexed="8"/>
      </left>
      <right style="double">
        <color indexed="8"/>
      </right>
      <top style="double">
        <color indexed="64"/>
      </top>
      <bottom/>
      <diagonal/>
    </border>
    <border>
      <left style="thin">
        <color indexed="64"/>
      </left>
      <right style="double">
        <color auto="1"/>
      </right>
      <top/>
      <bottom/>
      <diagonal/>
    </border>
    <border>
      <left/>
      <right style="double">
        <color indexed="8"/>
      </right>
      <top style="thin">
        <color indexed="8"/>
      </top>
      <bottom style="thin">
        <color indexed="8"/>
      </bottom>
      <diagonal/>
    </border>
    <border>
      <left/>
      <right/>
      <top/>
      <bottom style="thin">
        <color indexed="8"/>
      </bottom>
      <diagonal/>
    </border>
    <border>
      <left/>
      <right style="thin">
        <color indexed="64"/>
      </right>
      <top style="double">
        <color indexed="64"/>
      </top>
      <bottom style="thin">
        <color indexed="8"/>
      </bottom>
      <diagonal/>
    </border>
    <border>
      <left/>
      <right style="thin">
        <color indexed="64"/>
      </right>
      <top/>
      <bottom style="thin">
        <color indexed="8"/>
      </bottom>
      <diagonal/>
    </border>
    <border>
      <left/>
      <right style="thin">
        <color indexed="64"/>
      </right>
      <top/>
      <bottom style="double">
        <color indexed="64"/>
      </bottom>
      <diagonal/>
    </border>
    <border>
      <left/>
      <right/>
      <top style="double">
        <color indexed="64"/>
      </top>
      <bottom/>
      <diagonal/>
    </border>
    <border>
      <left style="double">
        <color indexed="8"/>
      </left>
      <right/>
      <top style="double">
        <color indexed="64"/>
      </top>
      <bottom/>
      <diagonal/>
    </border>
    <border>
      <left/>
      <right style="double">
        <color indexed="8"/>
      </right>
      <top style="double">
        <color indexed="64"/>
      </top>
      <bottom/>
      <diagonal/>
    </border>
    <border>
      <left style="thin">
        <color indexed="64"/>
      </left>
      <right style="double">
        <color indexed="64"/>
      </right>
      <top style="double">
        <color indexed="64"/>
      </top>
      <bottom style="thin">
        <color indexed="64"/>
      </bottom>
      <diagonal/>
    </border>
    <border>
      <left style="thin">
        <color indexed="64"/>
      </left>
      <right style="double">
        <color indexed="64"/>
      </right>
      <top style="thin">
        <color auto="1"/>
      </top>
      <bottom style="thin">
        <color auto="1"/>
      </bottom>
      <diagonal/>
    </border>
    <border>
      <left style="thin">
        <color indexed="64"/>
      </left>
      <right style="double">
        <color indexed="64"/>
      </right>
      <top/>
      <bottom style="double">
        <color indexed="64"/>
      </bottom>
      <diagonal/>
    </border>
    <border>
      <left/>
      <right/>
      <top style="double">
        <color indexed="64"/>
      </top>
      <bottom style="thin">
        <color indexed="64"/>
      </bottom>
      <diagonal/>
    </border>
    <border>
      <left/>
      <right/>
      <top style="thin">
        <color auto="1"/>
      </top>
      <bottom style="thin">
        <color auto="1"/>
      </bottom>
      <diagonal/>
    </border>
    <border>
      <left/>
      <right/>
      <top style="thin">
        <color indexed="64"/>
      </top>
      <bottom style="double">
        <color indexed="64"/>
      </bottom>
      <diagonal/>
    </border>
    <border>
      <left style="thin">
        <color indexed="64"/>
      </left>
      <right style="double">
        <color indexed="64"/>
      </right>
      <top style="double">
        <color indexed="64"/>
      </top>
      <bottom/>
      <diagonal/>
    </border>
    <border>
      <left style="double">
        <color indexed="64"/>
      </left>
      <right/>
      <top style="double">
        <color indexed="64"/>
      </top>
      <bottom style="thin">
        <color indexed="8"/>
      </bottom>
      <diagonal/>
    </border>
    <border>
      <left style="double">
        <color indexed="64"/>
      </left>
      <right/>
      <top/>
      <bottom style="thin">
        <color indexed="8"/>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style="double">
        <color indexed="8"/>
      </left>
      <right/>
      <top style="double">
        <color indexed="8"/>
      </top>
      <bottom style="double">
        <color indexed="8"/>
      </bottom>
      <diagonal/>
    </border>
    <border>
      <left style="double">
        <color indexed="8"/>
      </left>
      <right/>
      <top style="double">
        <color indexed="8"/>
      </top>
      <bottom/>
      <diagonal/>
    </border>
    <border>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bottom style="double">
        <color indexed="64"/>
      </bottom>
      <diagonal/>
    </border>
    <border>
      <left style="double">
        <color indexed="8"/>
      </left>
      <right style="double">
        <color indexed="8"/>
      </right>
      <top style="double">
        <color indexed="64"/>
      </top>
      <bottom style="double">
        <color indexed="64"/>
      </bottom>
      <diagonal/>
    </border>
    <border>
      <left/>
      <right style="double">
        <color indexed="8"/>
      </right>
      <top style="double">
        <color indexed="64"/>
      </top>
      <bottom style="double">
        <color indexed="64"/>
      </bottom>
      <diagonal/>
    </border>
    <border>
      <left style="double">
        <color indexed="8"/>
      </left>
      <right/>
      <top style="double">
        <color indexed="64"/>
      </top>
      <bottom style="thin">
        <color indexed="64"/>
      </bottom>
      <diagonal/>
    </border>
    <border>
      <left style="thin">
        <color indexed="64"/>
      </left>
      <right style="thin">
        <color indexed="8"/>
      </right>
      <top style="double">
        <color indexed="64"/>
      </top>
      <bottom/>
      <diagonal/>
    </border>
    <border>
      <left style="thin">
        <color indexed="8"/>
      </left>
      <right/>
      <top style="double">
        <color indexed="64"/>
      </top>
      <bottom/>
      <diagonal/>
    </border>
    <border>
      <left style="double">
        <color indexed="8"/>
      </left>
      <right/>
      <top style="thin">
        <color indexed="8"/>
      </top>
      <bottom style="thin">
        <color indexed="8"/>
      </bottom>
      <diagonal/>
    </border>
    <border>
      <left/>
      <right/>
      <top style="thin">
        <color indexed="8"/>
      </top>
      <bottom style="thin">
        <color indexed="8"/>
      </bottom>
      <diagonal/>
    </border>
    <border>
      <left style="thin">
        <color auto="1"/>
      </left>
      <right/>
      <top style="thin">
        <color indexed="8"/>
      </top>
      <bottom style="thin">
        <color indexed="8"/>
      </bottom>
      <diagonal/>
    </border>
    <border>
      <left style="double">
        <color indexed="64"/>
      </left>
      <right style="double">
        <color indexed="8"/>
      </right>
      <top style="thin">
        <color indexed="8"/>
      </top>
      <bottom style="thin">
        <color indexed="8"/>
      </bottom>
      <diagonal/>
    </border>
    <border>
      <left style="double">
        <color indexed="8"/>
      </left>
      <right style="thin">
        <color indexed="8"/>
      </right>
      <top style="thin">
        <color indexed="8"/>
      </top>
      <bottom style="thin">
        <color indexed="8"/>
      </bottom>
      <diagonal/>
    </border>
    <border>
      <left style="thin">
        <color auto="1"/>
      </left>
      <right style="double">
        <color auto="1"/>
      </right>
      <top style="thin">
        <color indexed="8"/>
      </top>
      <bottom style="thin">
        <color indexed="8"/>
      </bottom>
      <diagonal/>
    </border>
    <border>
      <left/>
      <right style="double">
        <color indexed="8"/>
      </right>
      <top style="thin">
        <color indexed="8"/>
      </top>
      <bottom style="thin">
        <color indexed="8"/>
      </bottom>
      <diagonal/>
    </border>
    <border>
      <left/>
      <right/>
      <top style="thin">
        <color auto="1"/>
      </top>
      <bottom style="thin">
        <color auto="1"/>
      </bottom>
      <diagonal/>
    </border>
    <border>
      <left/>
      <right style="thin">
        <color indexed="64"/>
      </right>
      <top style="thin">
        <color indexed="64"/>
      </top>
      <bottom style="thin">
        <color indexed="64"/>
      </bottom>
      <diagonal/>
    </border>
    <border>
      <left style="thin">
        <color indexed="64"/>
      </left>
      <right style="double">
        <color indexed="64"/>
      </right>
      <top style="thin">
        <color auto="1"/>
      </top>
      <bottom style="thin">
        <color auto="1"/>
      </bottom>
      <diagonal/>
    </border>
    <border>
      <left style="thin">
        <color indexed="64"/>
      </left>
      <right style="double">
        <color indexed="8"/>
      </right>
      <top style="double">
        <color indexed="8"/>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auto="1"/>
      </top>
      <bottom style="thin">
        <color auto="1"/>
      </bottom>
      <diagonal/>
    </border>
    <border>
      <left style="double">
        <color indexed="64"/>
      </left>
      <right/>
      <top style="thin">
        <color auto="1"/>
      </top>
      <bottom style="thin">
        <color auto="1"/>
      </bottom>
      <diagonal/>
    </border>
    <border>
      <left/>
      <right/>
      <top style="double">
        <color indexed="8"/>
      </top>
      <bottom style="double">
        <color indexed="8"/>
      </bottom>
      <diagonal/>
    </border>
    <border>
      <left style="thin">
        <color indexed="64"/>
      </left>
      <right style="double">
        <color indexed="8"/>
      </right>
      <top style="double">
        <color indexed="64"/>
      </top>
      <bottom style="thin">
        <color indexed="8"/>
      </bottom>
      <diagonal/>
    </border>
    <border>
      <left style="thin">
        <color indexed="64"/>
      </left>
      <right style="double">
        <color auto="1"/>
      </right>
      <top/>
      <bottom style="double">
        <color auto="1"/>
      </bottom>
      <diagonal/>
    </border>
    <border>
      <left/>
      <right/>
      <top style="thin">
        <color auto="1"/>
      </top>
      <bottom style="thin">
        <color auto="1"/>
      </bottom>
      <diagonal/>
    </border>
    <border>
      <left/>
      <right style="thin">
        <color indexed="64"/>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double">
        <color indexed="8"/>
      </left>
      <right style="double">
        <color indexed="8"/>
      </right>
      <top style="thin">
        <color indexed="8"/>
      </top>
      <bottom style="thin">
        <color indexed="8"/>
      </bottom>
      <diagonal/>
    </border>
    <border>
      <left/>
      <right/>
      <top style="thin">
        <color auto="1"/>
      </top>
      <bottom style="thin">
        <color auto="1"/>
      </bottom>
      <diagonal/>
    </border>
    <border>
      <left/>
      <right/>
      <top/>
      <bottom style="medium">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double">
        <color indexed="8"/>
      </left>
      <right style="double">
        <color indexed="8"/>
      </right>
      <top style="double">
        <color indexed="64"/>
      </top>
      <bottom style="thin">
        <color indexed="64"/>
      </bottom>
      <diagonal/>
    </border>
    <border>
      <left style="double">
        <color indexed="8"/>
      </left>
      <right style="double">
        <color indexed="8"/>
      </right>
      <top style="thin">
        <color indexed="64"/>
      </top>
      <bottom style="thin">
        <color indexed="8"/>
      </bottom>
      <diagonal/>
    </border>
    <border>
      <left style="double">
        <color indexed="8"/>
      </left>
      <right style="double">
        <color indexed="8"/>
      </right>
      <top/>
      <bottom style="thin">
        <color indexed="8"/>
      </bottom>
      <diagonal/>
    </border>
    <border>
      <left style="thin">
        <color indexed="64"/>
      </left>
      <right style="double">
        <color indexed="64"/>
      </right>
      <top style="double">
        <color indexed="64"/>
      </top>
      <bottom/>
      <diagonal/>
    </border>
    <border>
      <left style="double">
        <color indexed="8"/>
      </left>
      <right style="double">
        <color indexed="8"/>
      </right>
      <top style="double">
        <color indexed="8"/>
      </top>
      <bottom style="double">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auto="1"/>
      </top>
      <bottom style="thin">
        <color auto="1"/>
      </bottom>
      <diagonal/>
    </border>
    <border>
      <left style="thin">
        <color indexed="64"/>
      </left>
      <right style="thin">
        <color indexed="64"/>
      </right>
      <top style="thin">
        <color indexed="64"/>
      </top>
      <bottom style="thin">
        <color indexed="64"/>
      </bottom>
      <diagonal/>
    </border>
    <border>
      <left/>
      <right/>
      <top/>
      <bottom style="thin">
        <color auto="1"/>
      </bottom>
      <diagonal/>
    </border>
    <border>
      <left/>
      <right/>
      <top style="thin">
        <color indexed="8"/>
      </top>
      <bottom style="thin">
        <color indexed="8"/>
      </bottom>
      <diagonal/>
    </border>
    <border>
      <left/>
      <right/>
      <top style="double">
        <color indexed="64"/>
      </top>
      <bottom style="double">
        <color indexed="64"/>
      </bottom>
      <diagonal/>
    </border>
    <border>
      <left style="thin">
        <color auto="1"/>
      </left>
      <right/>
      <top/>
      <bottom style="thin">
        <color auto="1"/>
      </bottom>
      <diagonal/>
    </border>
    <border>
      <left style="thin">
        <color auto="1"/>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double">
        <color indexed="8"/>
      </left>
      <right/>
      <top/>
      <bottom style="double">
        <color indexed="8"/>
      </bottom>
      <diagonal/>
    </border>
    <border>
      <left/>
      <right/>
      <top/>
      <bottom style="double">
        <color indexed="8"/>
      </bottom>
      <diagonal/>
    </border>
    <border>
      <left style="double">
        <color indexed="8"/>
      </left>
      <right style="thin">
        <color indexed="8"/>
      </right>
      <top style="double">
        <color indexed="64"/>
      </top>
      <bottom style="double">
        <color indexed="64"/>
      </bottom>
      <diagonal/>
    </border>
    <border>
      <left style="thin">
        <color indexed="8"/>
      </left>
      <right/>
      <top style="double">
        <color indexed="64"/>
      </top>
      <bottom style="double">
        <color indexed="64"/>
      </bottom>
      <diagonal/>
    </border>
    <border>
      <left/>
      <right/>
      <top/>
      <bottom style="double">
        <color indexed="64"/>
      </bottom>
      <diagonal/>
    </border>
    <border>
      <left/>
      <right/>
      <top style="double">
        <color indexed="64"/>
      </top>
      <bottom/>
      <diagonal/>
    </border>
    <border>
      <left style="thin">
        <color indexed="64"/>
      </left>
      <right style="thin">
        <color indexed="64"/>
      </right>
      <top/>
      <bottom style="medium">
        <color indexed="64"/>
      </bottom>
      <diagonal/>
    </border>
    <border>
      <left/>
      <right/>
      <top style="thin">
        <color auto="1"/>
      </top>
      <bottom style="thin">
        <color auto="1"/>
      </bottom>
      <diagonal/>
    </border>
    <border>
      <left style="double">
        <color indexed="64"/>
      </left>
      <right/>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style="thin">
        <color auto="1"/>
      </top>
      <bottom/>
      <diagonal/>
    </border>
    <border>
      <left style="double">
        <color indexed="8"/>
      </left>
      <right style="double">
        <color indexed="8"/>
      </right>
      <top style="thin">
        <color indexed="8"/>
      </top>
      <bottom style="thin">
        <color indexed="8"/>
      </bottom>
      <diagonal/>
    </border>
    <border>
      <left/>
      <right/>
      <top style="thin">
        <color indexed="8"/>
      </top>
      <bottom style="thin">
        <color indexed="8"/>
      </bottom>
      <diagonal/>
    </border>
    <border>
      <left style="double">
        <color indexed="8"/>
      </left>
      <right/>
      <top style="thin">
        <color indexed="8"/>
      </top>
      <bottom style="thin">
        <color indexed="8"/>
      </bottom>
      <diagonal/>
    </border>
    <border>
      <left style="double">
        <color indexed="64"/>
      </left>
      <right style="double">
        <color indexed="8"/>
      </right>
      <top style="thin">
        <color indexed="8"/>
      </top>
      <bottom style="thin">
        <color indexed="8"/>
      </bottom>
      <diagonal/>
    </border>
    <border>
      <left style="double">
        <color indexed="8"/>
      </left>
      <right style="thin">
        <color indexed="8"/>
      </right>
      <top style="thin">
        <color indexed="8"/>
      </top>
      <bottom style="thin">
        <color indexed="8"/>
      </bottom>
      <diagonal/>
    </border>
    <border>
      <left style="thin">
        <color auto="1"/>
      </left>
      <right style="double">
        <color auto="1"/>
      </right>
      <top style="thin">
        <color indexed="8"/>
      </top>
      <bottom style="thin">
        <color indexed="8"/>
      </bottom>
      <diagonal/>
    </border>
    <border>
      <left/>
      <right/>
      <top style="thin">
        <color indexed="8"/>
      </top>
      <bottom style="thin">
        <color indexed="8"/>
      </bottom>
      <diagonal/>
    </border>
    <border>
      <left style="double">
        <color indexed="64"/>
      </left>
      <right style="double">
        <color indexed="8"/>
      </right>
      <top style="thin">
        <color indexed="8"/>
      </top>
      <bottom style="thin">
        <color indexed="8"/>
      </bottom>
      <diagonal/>
    </border>
    <border>
      <left/>
      <right/>
      <top style="thin">
        <color indexed="8"/>
      </top>
      <bottom style="thin">
        <color indexed="8"/>
      </bottom>
      <diagonal/>
    </border>
    <border>
      <left style="double">
        <color indexed="64"/>
      </left>
      <right style="double">
        <color indexed="8"/>
      </right>
      <top style="thin">
        <color indexed="8"/>
      </top>
      <bottom style="thin">
        <color indexed="8"/>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double">
        <color indexed="8"/>
      </left>
      <right style="double">
        <color indexed="8"/>
      </right>
      <top/>
      <bottom style="thin">
        <color indexed="8"/>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double">
        <color indexed="8"/>
      </top>
      <bottom style="double">
        <color indexed="64"/>
      </bottom>
      <diagonal/>
    </border>
    <border>
      <left style="double">
        <color indexed="64"/>
      </left>
      <right style="double">
        <color indexed="8"/>
      </right>
      <top style="thin">
        <color auto="1"/>
      </top>
      <bottom style="thin">
        <color auto="1"/>
      </bottom>
      <diagonal/>
    </border>
    <border>
      <left style="double">
        <color indexed="8"/>
      </left>
      <right/>
      <top style="double">
        <color indexed="64"/>
      </top>
      <bottom style="double">
        <color indexed="8"/>
      </bottom>
      <diagonal/>
    </border>
    <border>
      <left style="thin">
        <color indexed="64"/>
      </left>
      <right style="double">
        <color indexed="8"/>
      </right>
      <top style="double">
        <color indexed="64"/>
      </top>
      <bottom style="thin">
        <color auto="1"/>
      </bottom>
      <diagonal/>
    </border>
    <border>
      <left style="thin">
        <color indexed="64"/>
      </left>
      <right style="double">
        <color auto="1"/>
      </right>
      <top style="thin">
        <color indexed="8"/>
      </top>
      <bottom style="thin">
        <color indexed="8"/>
      </bottom>
      <diagonal/>
    </border>
    <border>
      <left style="thin">
        <color indexed="64"/>
      </left>
      <right style="double">
        <color indexed="8"/>
      </right>
      <top style="double">
        <color indexed="8"/>
      </top>
      <bottom style="double">
        <color indexed="64"/>
      </bottom>
      <diagonal/>
    </border>
    <border>
      <left style="double">
        <color indexed="8"/>
      </left>
      <right/>
      <top style="double">
        <color indexed="8"/>
      </top>
      <bottom style="double">
        <color indexed="64"/>
      </bottom>
      <diagonal/>
    </border>
    <border>
      <left style="thin">
        <color indexed="64"/>
      </left>
      <right style="double">
        <color indexed="8"/>
      </right>
      <top/>
      <bottom style="thin">
        <color indexed="8"/>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auto="1"/>
      </bottom>
      <diagonal/>
    </border>
    <border>
      <left/>
      <right style="thin">
        <color indexed="64"/>
      </right>
      <top style="thin">
        <color indexed="64"/>
      </top>
      <bottom style="thin">
        <color auto="1"/>
      </bottom>
      <diagonal/>
    </border>
    <border>
      <left/>
      <right/>
      <top/>
      <bottom style="thin">
        <color indexed="64"/>
      </bottom>
      <diagonal/>
    </border>
    <border>
      <left/>
      <right/>
      <top style="thin">
        <color indexed="64"/>
      </top>
      <bottom/>
      <diagonal/>
    </border>
    <border>
      <left/>
      <right style="double">
        <color indexed="8"/>
      </right>
      <top style="double">
        <color indexed="64"/>
      </top>
      <bottom style="thin">
        <color indexed="8"/>
      </bottom>
      <diagonal/>
    </border>
    <border>
      <left style="double">
        <color theme="0" tint="-0.499984740745262"/>
      </left>
      <right/>
      <top style="double">
        <color indexed="8"/>
      </top>
      <bottom style="double">
        <color indexed="64"/>
      </bottom>
      <diagonal/>
    </border>
    <border>
      <left style="double">
        <color theme="0" tint="-0.499984740745262"/>
      </left>
      <right/>
      <top/>
      <bottom style="thin">
        <color indexed="64"/>
      </bottom>
      <diagonal/>
    </border>
    <border>
      <left style="medium">
        <color indexed="8"/>
      </left>
      <right style="thin">
        <color theme="1" tint="0.499984740745262"/>
      </right>
      <top/>
      <bottom style="thin">
        <color indexed="64"/>
      </bottom>
      <diagonal/>
    </border>
    <border>
      <left style="medium">
        <color indexed="64"/>
      </left>
      <right style="thin">
        <color theme="1" tint="0.499984740745262"/>
      </right>
      <top/>
      <bottom style="thin">
        <color indexed="8"/>
      </bottom>
      <diagonal/>
    </border>
    <border>
      <left style="double">
        <color indexed="8"/>
      </left>
      <right/>
      <top style="double">
        <color theme="0" tint="-0.499984740745262"/>
      </top>
      <bottom style="double">
        <color indexed="8"/>
      </bottom>
      <diagonal/>
    </border>
    <border>
      <left/>
      <right/>
      <top style="double">
        <color theme="0" tint="-0.499984740745262"/>
      </top>
      <bottom style="double">
        <color indexed="8"/>
      </bottom>
      <diagonal/>
    </border>
    <border>
      <left style="double">
        <color theme="0" tint="-0.499984740745262"/>
      </left>
      <right/>
      <top style="double">
        <color theme="0" tint="-0.499984740745262"/>
      </top>
      <bottom style="double">
        <color theme="0" tint="-0.499984740745262"/>
      </bottom>
      <diagonal/>
    </border>
    <border>
      <left style="thin">
        <color indexed="64"/>
      </left>
      <right style="double">
        <color indexed="8"/>
      </right>
      <top style="double">
        <color theme="0" tint="-0.499984740745262"/>
      </top>
      <bottom style="double">
        <color theme="0" tint="-0.499984740745262"/>
      </bottom>
      <diagonal/>
    </border>
    <border>
      <left style="double">
        <color theme="0" tint="-0.499984740745262"/>
      </left>
      <right/>
      <top style="double">
        <color theme="0" tint="-0.499984740745262"/>
      </top>
      <bottom/>
      <diagonal/>
    </border>
    <border>
      <left/>
      <right style="double">
        <color indexed="8"/>
      </right>
      <top style="double">
        <color theme="0" tint="-0.499984740745262"/>
      </top>
      <bottom/>
      <diagonal/>
    </border>
    <border>
      <left/>
      <right style="double">
        <color theme="0" tint="-0.499984740745262"/>
      </right>
      <top style="double">
        <color theme="0" tint="-0.499984740745262"/>
      </top>
      <bottom style="double">
        <color indexed="8"/>
      </bottom>
      <diagonal/>
    </border>
    <border>
      <left style="double">
        <color theme="0" tint="-0.499984740745262"/>
      </left>
      <right/>
      <top/>
      <bottom/>
      <diagonal/>
    </border>
    <border>
      <left style="double">
        <color indexed="8"/>
      </left>
      <right/>
      <top style="double">
        <color indexed="8"/>
      </top>
      <bottom style="thin">
        <color indexed="8"/>
      </bottom>
      <diagonal/>
    </border>
    <border>
      <left style="double">
        <color theme="0" tint="-0.499984740745262"/>
      </left>
      <right/>
      <top/>
      <bottom style="double">
        <color theme="0" tint="-0.499984740745262"/>
      </bottom>
      <diagonal/>
    </border>
    <border>
      <left/>
      <right/>
      <top/>
      <bottom style="double">
        <color theme="0" tint="-0.499984740745262"/>
      </bottom>
      <diagonal/>
    </border>
    <border>
      <left style="thin">
        <color indexed="64"/>
      </left>
      <right/>
      <top/>
      <bottom style="double">
        <color theme="0" tint="-0.499984740745262"/>
      </bottom>
      <diagonal/>
    </border>
    <border>
      <left/>
      <right style="double">
        <color theme="0" tint="-0.499984740745262"/>
      </right>
      <top/>
      <bottom style="double">
        <color theme="0" tint="-0.499984740745262"/>
      </bottom>
      <diagonal/>
    </border>
    <border>
      <left/>
      <right/>
      <top style="thin">
        <color indexed="64"/>
      </top>
      <bottom style="thin">
        <color indexed="64"/>
      </bottom>
      <diagonal/>
    </border>
    <border>
      <left/>
      <right/>
      <top style="thin">
        <color indexed="8"/>
      </top>
      <bottom style="thin">
        <color indexed="8"/>
      </bottom>
      <diagonal/>
    </border>
    <border>
      <left style="thin">
        <color indexed="64"/>
      </left>
      <right/>
      <top/>
      <bottom style="thin">
        <color indexed="64"/>
      </bottom>
      <diagonal/>
    </border>
    <border>
      <left style="thin">
        <color indexed="64"/>
      </left>
      <right/>
      <top style="thin">
        <color indexed="8"/>
      </top>
      <bottom style="thin">
        <color indexed="8"/>
      </bottom>
      <diagonal/>
    </border>
    <border>
      <left style="double">
        <color indexed="8"/>
      </left>
      <right/>
      <top style="thin">
        <color indexed="8"/>
      </top>
      <bottom style="thin">
        <color indexed="8"/>
      </bottom>
      <diagonal/>
    </border>
    <border>
      <left/>
      <right style="double">
        <color indexed="8"/>
      </right>
      <top style="thin">
        <color indexed="8"/>
      </top>
      <bottom style="thin">
        <color indexed="8"/>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style="double">
        <color indexed="64"/>
      </right>
      <top style="thin">
        <color indexed="8"/>
      </top>
      <bottom style="double">
        <color indexed="64"/>
      </bottom>
      <diagonal/>
    </border>
    <border>
      <left/>
      <right style="double">
        <color indexed="64"/>
      </right>
      <top style="thin">
        <color indexed="8"/>
      </top>
      <bottom style="thin">
        <color indexed="8"/>
      </bottom>
      <diagonal/>
    </border>
    <border>
      <left style="double">
        <color indexed="64"/>
      </left>
      <right style="double">
        <color indexed="64"/>
      </right>
      <top style="double">
        <color indexed="64"/>
      </top>
      <bottom/>
      <diagonal/>
    </border>
    <border>
      <left style="double">
        <color indexed="64"/>
      </left>
      <right style="double">
        <color indexed="64"/>
      </right>
      <top style="thin">
        <color indexed="64"/>
      </top>
      <bottom style="double">
        <color indexed="64"/>
      </bottom>
      <diagonal/>
    </border>
    <border>
      <left style="double">
        <color indexed="8"/>
      </left>
      <right style="double">
        <color indexed="8"/>
      </right>
      <top style="double">
        <color indexed="8"/>
      </top>
      <bottom style="thin">
        <color indexed="64"/>
      </bottom>
      <diagonal/>
    </border>
    <border>
      <left/>
      <right style="double">
        <color indexed="8"/>
      </right>
      <top style="double">
        <color indexed="8"/>
      </top>
      <bottom style="thin">
        <color indexed="64"/>
      </bottom>
      <diagonal/>
    </border>
    <border>
      <left/>
      <right/>
      <top style="double">
        <color indexed="8"/>
      </top>
      <bottom style="thin">
        <color indexed="64"/>
      </bottom>
      <diagonal/>
    </border>
    <border>
      <left style="double">
        <color indexed="8"/>
      </left>
      <right style="thin">
        <color indexed="8"/>
      </right>
      <top style="double">
        <color indexed="8"/>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double">
        <color indexed="8"/>
      </left>
      <right/>
      <top style="double">
        <color indexed="8"/>
      </top>
      <bottom style="thin">
        <color indexed="64"/>
      </bottom>
      <diagonal/>
    </border>
    <border>
      <left/>
      <right/>
      <top/>
      <bottom style="double">
        <color indexed="8"/>
      </bottom>
      <diagonal/>
    </border>
    <border>
      <left/>
      <right/>
      <top style="thin">
        <color auto="1"/>
      </top>
      <bottom style="thin">
        <color auto="1"/>
      </bottom>
      <diagonal/>
    </border>
    <border>
      <left/>
      <right/>
      <top style="double">
        <color indexed="8"/>
      </top>
      <bottom/>
      <diagonal/>
    </border>
    <border>
      <left style="double">
        <color indexed="8"/>
      </left>
      <right/>
      <top style="thin">
        <color indexed="64"/>
      </top>
      <bottom style="thin">
        <color indexed="64"/>
      </bottom>
      <diagonal/>
    </border>
    <border>
      <left/>
      <right style="double">
        <color indexed="8"/>
      </right>
      <top style="thin">
        <color indexed="64"/>
      </top>
      <bottom style="thin">
        <color indexed="64"/>
      </bottom>
      <diagonal/>
    </border>
    <border>
      <left style="double">
        <color indexed="8"/>
      </left>
      <right style="thin">
        <color indexed="8"/>
      </right>
      <top style="thin">
        <color indexed="64"/>
      </top>
      <bottom style="thin">
        <color indexed="64"/>
      </bottom>
      <diagonal/>
    </border>
    <border>
      <left style="double">
        <color indexed="8"/>
      </left>
      <right style="double">
        <color indexed="8"/>
      </right>
      <top style="thin">
        <color indexed="8"/>
      </top>
      <bottom style="thin">
        <color indexed="8"/>
      </bottom>
      <diagonal/>
    </border>
    <border>
      <left/>
      <right style="double">
        <color indexed="8"/>
      </right>
      <top style="thin">
        <color indexed="64"/>
      </top>
      <bottom style="thin">
        <color indexed="64"/>
      </bottom>
      <diagonal/>
    </border>
    <border>
      <left style="double">
        <color indexed="8"/>
      </left>
      <right style="double">
        <color indexed="8"/>
      </right>
      <top/>
      <bottom style="thin">
        <color indexed="64"/>
      </bottom>
      <diagonal/>
    </border>
    <border>
      <left style="double">
        <color indexed="8"/>
      </left>
      <right style="thin">
        <color indexed="8"/>
      </right>
      <top/>
      <bottom style="thin">
        <color indexed="8"/>
      </bottom>
      <diagonal/>
    </border>
    <border>
      <left/>
      <right style="double">
        <color indexed="8"/>
      </right>
      <top/>
      <bottom style="thin">
        <color indexed="8"/>
      </bottom>
      <diagonal/>
    </border>
    <border>
      <left/>
      <right style="thin">
        <color auto="1"/>
      </right>
      <top style="double">
        <color indexed="8"/>
      </top>
      <bottom/>
      <diagonal/>
    </border>
    <border>
      <left/>
      <right style="thin">
        <color auto="1"/>
      </right>
      <top/>
      <bottom style="double">
        <color indexed="64"/>
      </bottom>
      <diagonal/>
    </border>
    <border>
      <left/>
      <right style="double">
        <color indexed="8"/>
      </right>
      <top style="thin">
        <color auto="1"/>
      </top>
      <bottom/>
      <diagonal/>
    </border>
    <border>
      <left/>
      <right/>
      <top style="double">
        <color indexed="64"/>
      </top>
      <bottom style="double">
        <color indexed="8"/>
      </bottom>
      <diagonal/>
    </border>
    <border>
      <left/>
      <right style="double">
        <color indexed="8"/>
      </right>
      <top style="double">
        <color indexed="64"/>
      </top>
      <bottom style="double">
        <color indexed="8"/>
      </bottom>
      <diagonal/>
    </border>
    <border>
      <left/>
      <right style="double">
        <color auto="1"/>
      </right>
      <top/>
      <bottom style="double">
        <color auto="1"/>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double">
        <color indexed="8"/>
      </left>
      <right/>
      <top style="double">
        <color indexed="64"/>
      </top>
      <bottom style="thin">
        <color indexed="8"/>
      </bottom>
      <diagonal/>
    </border>
    <border>
      <left/>
      <right/>
      <top style="double">
        <color indexed="64"/>
      </top>
      <bottom style="thin">
        <color indexed="8"/>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bottom style="thin">
        <color indexed="64"/>
      </bottom>
      <diagonal/>
    </border>
    <border>
      <left/>
      <right/>
      <top style="thin">
        <color indexed="64"/>
      </top>
      <bottom style="thin">
        <color auto="1"/>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style="thin">
        <color auto="1"/>
      </top>
      <bottom style="thin">
        <color auto="1"/>
      </bottom>
      <diagonal/>
    </border>
    <border>
      <left/>
      <right/>
      <top style="thin">
        <color indexed="64"/>
      </top>
      <bottom/>
      <diagonal/>
    </border>
    <border>
      <left/>
      <right/>
      <top/>
      <bottom style="double">
        <color indexed="64"/>
      </bottom>
      <diagonal/>
    </border>
    <border>
      <left/>
      <right style="double">
        <color indexed="8"/>
      </right>
      <top style="double">
        <color indexed="8"/>
      </top>
      <bottom style="double">
        <color indexed="64"/>
      </bottom>
      <diagonal/>
    </border>
    <border>
      <left style="double">
        <color indexed="64"/>
      </left>
      <right style="double">
        <color indexed="8"/>
      </right>
      <top style="thin">
        <color indexed="8"/>
      </top>
      <bottom style="thin">
        <color indexed="8"/>
      </bottom>
      <diagonal/>
    </border>
    <border>
      <left style="double">
        <color indexed="8"/>
      </left>
      <right style="thin">
        <color indexed="8"/>
      </right>
      <top style="thin">
        <color indexed="8"/>
      </top>
      <bottom style="thin">
        <color indexed="8"/>
      </bottom>
      <diagonal/>
    </border>
    <border>
      <left/>
      <right/>
      <top style="thin">
        <color indexed="8"/>
      </top>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thin">
        <color indexed="64"/>
      </left>
      <right style="thin">
        <color indexed="64"/>
      </right>
      <top style="thin">
        <color indexed="8"/>
      </top>
      <bottom style="thin">
        <color indexed="64"/>
      </bottom>
      <diagonal/>
    </border>
    <border>
      <left/>
      <right/>
      <top/>
      <bottom style="double">
        <color auto="1"/>
      </bottom>
      <diagonal/>
    </border>
    <border>
      <left/>
      <right style="double">
        <color indexed="8"/>
      </right>
      <top/>
      <bottom style="double">
        <color indexed="64"/>
      </bottom>
      <diagonal/>
    </border>
    <border>
      <left style="double">
        <color indexed="8"/>
      </left>
      <right style="double">
        <color indexed="8"/>
      </right>
      <top style="thin">
        <color indexed="8"/>
      </top>
      <bottom style="thin">
        <color indexed="8"/>
      </bottom>
      <diagonal/>
    </border>
    <border>
      <left style="double">
        <color indexed="8"/>
      </left>
      <right/>
      <top style="thin">
        <color indexed="8"/>
      </top>
      <bottom style="thin">
        <color indexed="8"/>
      </bottom>
      <diagonal/>
    </border>
    <border>
      <left style="thin">
        <color indexed="64"/>
      </left>
      <right style="thin">
        <color auto="1"/>
      </right>
      <top style="thin">
        <color indexed="8"/>
      </top>
      <bottom style="thin">
        <color indexed="8"/>
      </bottom>
      <diagonal/>
    </border>
    <border>
      <left style="thin">
        <color auto="1"/>
      </left>
      <right/>
      <top style="thin">
        <color indexed="8"/>
      </top>
      <bottom style="thin">
        <color indexed="8"/>
      </bottom>
      <diagonal/>
    </border>
    <border>
      <left style="double">
        <color indexed="64"/>
      </left>
      <right style="double">
        <color indexed="8"/>
      </right>
      <top style="thin">
        <color indexed="8"/>
      </top>
      <bottom style="thin">
        <color indexed="8"/>
      </bottom>
      <diagonal/>
    </border>
    <border>
      <left style="double">
        <color indexed="8"/>
      </left>
      <right style="thin">
        <color indexed="8"/>
      </right>
      <top style="thin">
        <color indexed="8"/>
      </top>
      <bottom style="thin">
        <color indexed="8"/>
      </bottom>
      <diagonal/>
    </border>
    <border>
      <left/>
      <right/>
      <top style="thin">
        <color indexed="8"/>
      </top>
      <bottom style="thin">
        <color indexed="8"/>
      </bottom>
      <diagonal/>
    </border>
    <border>
      <left style="thin">
        <color auto="1"/>
      </left>
      <right style="double">
        <color auto="1"/>
      </right>
      <top style="thin">
        <color indexed="8"/>
      </top>
      <bottom style="thin">
        <color indexed="8"/>
      </bottom>
      <diagonal/>
    </border>
    <border>
      <left/>
      <right style="double">
        <color indexed="8"/>
      </right>
      <top style="thin">
        <color indexed="8"/>
      </top>
      <bottom style="thin">
        <color indexed="8"/>
      </bottom>
      <diagonal/>
    </border>
    <border>
      <left/>
      <right/>
      <top style="thin">
        <color indexed="8"/>
      </top>
      <bottom/>
      <diagonal/>
    </border>
    <border>
      <left style="double">
        <color indexed="8"/>
      </left>
      <right/>
      <top style="double">
        <color indexed="64"/>
      </top>
      <bottom style="double">
        <color indexed="64"/>
      </bottom>
      <diagonal/>
    </border>
    <border>
      <left style="double">
        <color indexed="64"/>
      </left>
      <right style="double">
        <color indexed="64"/>
      </right>
      <top style="double">
        <color indexed="64"/>
      </top>
      <bottom style="thin">
        <color indexed="64"/>
      </bottom>
      <diagonal/>
    </border>
    <border>
      <left style="double">
        <color indexed="64"/>
      </left>
      <right style="double">
        <color indexed="64"/>
      </right>
      <top style="thin">
        <color indexed="64"/>
      </top>
      <bottom style="thin">
        <color indexed="64"/>
      </bottom>
      <diagonal/>
    </border>
    <border>
      <left style="thin">
        <color indexed="64"/>
      </left>
      <right style="thin">
        <color auto="1"/>
      </right>
      <top style="double">
        <color indexed="8"/>
      </top>
      <bottom/>
      <diagonal/>
    </border>
    <border>
      <left style="thin">
        <color indexed="64"/>
      </left>
      <right style="thin">
        <color auto="1"/>
      </right>
      <top/>
      <bottom style="double">
        <color indexed="64"/>
      </bottom>
      <diagonal/>
    </border>
    <border>
      <left style="thin">
        <color auto="1"/>
      </left>
      <right/>
      <top/>
      <bottom style="double">
        <color indexed="64"/>
      </bottom>
      <diagonal/>
    </border>
    <border>
      <left style="thin">
        <color indexed="64"/>
      </left>
      <right/>
      <top style="double">
        <color indexed="64"/>
      </top>
      <bottom style="double">
        <color indexed="64"/>
      </bottom>
      <diagonal/>
    </border>
    <border>
      <left/>
      <right/>
      <top style="thin">
        <color indexed="8"/>
      </top>
      <bottom style="thin">
        <color indexed="64"/>
      </bottom>
      <diagonal/>
    </border>
    <border>
      <left style="medium">
        <color indexed="64"/>
      </left>
      <right/>
      <top style="medium">
        <color indexed="64"/>
      </top>
      <bottom style="medium">
        <color indexed="64"/>
      </bottom>
      <diagonal/>
    </border>
    <border>
      <left style="double">
        <color indexed="8"/>
      </left>
      <right style="double">
        <color indexed="8"/>
      </right>
      <top style="medium">
        <color indexed="64"/>
      </top>
      <bottom style="medium">
        <color indexed="64"/>
      </bottom>
      <diagonal/>
    </border>
    <border>
      <left style="double">
        <color indexed="8"/>
      </left>
      <right/>
      <top style="medium">
        <color indexed="64"/>
      </top>
      <bottom style="medium">
        <color indexed="64"/>
      </bottom>
      <diagonal/>
    </border>
    <border>
      <left/>
      <right/>
      <top style="medium">
        <color indexed="64"/>
      </top>
      <bottom style="medium">
        <color indexed="64"/>
      </bottom>
      <diagonal/>
    </border>
    <border>
      <left style="thin">
        <color auto="1"/>
      </left>
      <right/>
      <top style="medium">
        <color indexed="64"/>
      </top>
      <bottom style="medium">
        <color indexed="64"/>
      </bottom>
      <diagonal/>
    </border>
    <border>
      <left style="double">
        <color indexed="64"/>
      </left>
      <right style="double">
        <color indexed="8"/>
      </right>
      <top style="medium">
        <color indexed="64"/>
      </top>
      <bottom style="medium">
        <color indexed="64"/>
      </bottom>
      <diagonal/>
    </border>
    <border>
      <left style="double">
        <color indexed="8"/>
      </left>
      <right style="thin">
        <color indexed="8"/>
      </right>
      <top style="medium">
        <color indexed="64"/>
      </top>
      <bottom style="medium">
        <color indexed="64"/>
      </bottom>
      <diagonal/>
    </border>
    <border>
      <left style="thin">
        <color auto="1"/>
      </left>
      <right style="double">
        <color auto="1"/>
      </right>
      <top style="medium">
        <color indexed="64"/>
      </top>
      <bottom style="medium">
        <color indexed="64"/>
      </bottom>
      <diagonal/>
    </border>
    <border>
      <left/>
      <right style="double">
        <color indexed="8"/>
      </right>
      <top style="medium">
        <color indexed="64"/>
      </top>
      <bottom style="medium">
        <color indexed="64"/>
      </bottom>
      <diagonal/>
    </border>
    <border>
      <left style="double">
        <color indexed="8"/>
      </left>
      <right style="medium">
        <color indexed="64"/>
      </right>
      <top style="medium">
        <color indexed="64"/>
      </top>
      <bottom style="medium">
        <color indexed="64"/>
      </bottom>
      <diagonal/>
    </border>
    <border>
      <left/>
      <right/>
      <top style="medium">
        <color indexed="64"/>
      </top>
      <bottom/>
      <diagonal/>
    </border>
    <border>
      <left/>
      <right style="double">
        <color indexed="8"/>
      </right>
      <top style="double">
        <color indexed="8"/>
      </top>
      <bottom style="double">
        <color indexed="8"/>
      </bottom>
      <diagonal/>
    </border>
    <border>
      <left style="double">
        <color indexed="8"/>
      </left>
      <right/>
      <top/>
      <bottom style="double">
        <color indexed="8"/>
      </bottom>
      <diagonal/>
    </border>
    <border>
      <left/>
      <right/>
      <top/>
      <bottom style="double">
        <color indexed="8"/>
      </bottom>
      <diagonal/>
    </border>
    <border>
      <left style="double">
        <color indexed="8"/>
      </left>
      <right style="double">
        <color indexed="8"/>
      </right>
      <top/>
      <bottom style="double">
        <color indexed="8"/>
      </bottom>
      <diagonal/>
    </border>
    <border>
      <left/>
      <right/>
      <top style="thin">
        <color indexed="64"/>
      </top>
      <bottom style="thin">
        <color indexed="64"/>
      </bottom>
      <diagonal/>
    </border>
    <border>
      <left style="double">
        <color theme="0" tint="-0.499984740745262"/>
      </left>
      <right/>
      <top/>
      <bottom style="double">
        <color indexed="64"/>
      </bottom>
      <diagonal/>
    </border>
    <border>
      <left style="thin">
        <color indexed="64"/>
      </left>
      <right style="double">
        <color indexed="8"/>
      </right>
      <top/>
      <bottom style="double">
        <color indexed="64"/>
      </bottom>
      <diagonal/>
    </border>
    <border>
      <left style="medium">
        <color indexed="8"/>
      </left>
      <right/>
      <top/>
      <bottom style="double">
        <color indexed="64"/>
      </bottom>
      <diagonal/>
    </border>
    <border>
      <left style="double">
        <color theme="1" tint="0.499984740745262"/>
      </left>
      <right/>
      <top/>
      <bottom style="double">
        <color theme="1" tint="0.499984740745262"/>
      </bottom>
      <diagonal/>
    </border>
    <border>
      <left/>
      <right/>
      <top/>
      <bottom style="double">
        <color theme="1" tint="0.499984740745262"/>
      </bottom>
      <diagonal/>
    </border>
    <border>
      <left/>
      <right style="double">
        <color theme="0" tint="-0.499984740745262"/>
      </right>
      <top/>
      <bottom style="double">
        <color theme="1" tint="0.499984740745262"/>
      </bottom>
      <diagonal/>
    </border>
    <border>
      <left style="thin">
        <color theme="1" tint="0.499984740745262"/>
      </left>
      <right/>
      <top style="double">
        <color theme="1" tint="0.499984740745262"/>
      </top>
      <bottom style="thin">
        <color theme="1" tint="0.499984740745262"/>
      </bottom>
      <diagonal/>
    </border>
    <border>
      <left/>
      <right/>
      <top style="double">
        <color theme="1" tint="0.499984740745262"/>
      </top>
      <bottom style="thin">
        <color theme="1" tint="0.499984740745262"/>
      </bottom>
      <diagonal/>
    </border>
    <border>
      <left/>
      <right style="double">
        <color theme="0" tint="-0.499984740745262"/>
      </right>
      <top style="double">
        <color theme="1" tint="0.499984740745262"/>
      </top>
      <bottom style="thin">
        <color theme="1" tint="0.499984740745262"/>
      </bottom>
      <diagonal/>
    </border>
    <border>
      <left style="double">
        <color theme="0" tint="-0.499984740745262"/>
      </left>
      <right/>
      <top style="thin">
        <color auto="1"/>
      </top>
      <bottom style="thin">
        <color indexed="64"/>
      </bottom>
      <diagonal/>
    </border>
    <border>
      <left style="thin">
        <color indexed="64"/>
      </left>
      <right style="double">
        <color indexed="8"/>
      </right>
      <top style="thin">
        <color indexed="8"/>
      </top>
      <bottom style="thin">
        <color indexed="8"/>
      </bottom>
      <diagonal/>
    </border>
    <border>
      <left style="medium">
        <color indexed="8"/>
      </left>
      <right style="thin">
        <color theme="1" tint="0.499984740745262"/>
      </right>
      <top style="thin">
        <color indexed="8"/>
      </top>
      <bottom style="thin">
        <color indexed="64"/>
      </bottom>
      <diagonal/>
    </border>
    <border>
      <left style="thin">
        <color theme="1" tint="0.499984740745262"/>
      </left>
      <right/>
      <top style="thin">
        <color theme="1" tint="0.499984740745262"/>
      </top>
      <bottom style="thin">
        <color theme="1" tint="0.499984740745262"/>
      </bottom>
      <diagonal/>
    </border>
    <border>
      <left/>
      <right/>
      <top style="thin">
        <color theme="1" tint="0.499984740745262"/>
      </top>
      <bottom style="thin">
        <color theme="1" tint="0.499984740745262"/>
      </bottom>
      <diagonal/>
    </border>
    <border>
      <left/>
      <right style="double">
        <color theme="0" tint="-0.499984740745262"/>
      </right>
      <top style="thin">
        <color theme="1" tint="0.499984740745262"/>
      </top>
      <bottom style="thin">
        <color theme="1" tint="0.499984740745262"/>
      </bottom>
      <diagonal/>
    </border>
    <border>
      <left style="medium">
        <color indexed="64"/>
      </left>
      <right style="thin">
        <color theme="1" tint="0.499984740745262"/>
      </right>
      <top style="thin">
        <color indexed="8"/>
      </top>
      <bottom style="thin">
        <color indexed="8"/>
      </bottom>
      <diagonal/>
    </border>
    <border>
      <left style="double">
        <color theme="0" tint="-0.499984740745262"/>
      </left>
      <right/>
      <top style="thin">
        <color indexed="64"/>
      </top>
      <bottom style="double">
        <color theme="0" tint="-0.499984740745262"/>
      </bottom>
      <diagonal/>
    </border>
    <border>
      <left style="double">
        <color auto="1"/>
      </left>
      <right style="thin">
        <color theme="1" tint="0.499984740745262"/>
      </right>
      <top style="thin">
        <color indexed="64"/>
      </top>
      <bottom style="double">
        <color theme="0" tint="-0.499984740745262"/>
      </bottom>
      <diagonal/>
    </border>
    <border>
      <left style="thin">
        <color theme="1" tint="0.499984740745262"/>
      </left>
      <right/>
      <top style="thin">
        <color theme="1" tint="0.499984740745262"/>
      </top>
      <bottom style="double">
        <color theme="0" tint="-0.499984740745262"/>
      </bottom>
      <diagonal/>
    </border>
    <border>
      <left/>
      <right/>
      <top style="thin">
        <color theme="1" tint="0.499984740745262"/>
      </top>
      <bottom style="double">
        <color theme="0" tint="-0.499984740745262"/>
      </bottom>
      <diagonal/>
    </border>
    <border>
      <left/>
      <right style="double">
        <color theme="0" tint="-0.499984740745262"/>
      </right>
      <top style="thin">
        <color theme="1" tint="0.499984740745262"/>
      </top>
      <bottom style="double">
        <color theme="0" tint="-0.499984740745262"/>
      </bottom>
      <diagonal/>
    </border>
    <border>
      <left style="double">
        <color indexed="8"/>
      </left>
      <right/>
      <top style="double">
        <color theme="0" tint="-0.499984740745262"/>
      </top>
      <bottom style="double">
        <color theme="0" tint="-0.499984740745262"/>
      </bottom>
      <diagonal/>
    </border>
    <border>
      <left style="double">
        <color theme="1" tint="0.499984740745262"/>
      </left>
      <right/>
      <top style="double">
        <color theme="1" tint="0.499984740745262"/>
      </top>
      <bottom style="double">
        <color theme="1" tint="0.499984740745262"/>
      </bottom>
      <diagonal/>
    </border>
    <border>
      <left/>
      <right/>
      <top style="double">
        <color theme="1" tint="0.499984740745262"/>
      </top>
      <bottom style="double">
        <color theme="1" tint="0.499984740745262"/>
      </bottom>
      <diagonal/>
    </border>
    <border>
      <left/>
      <right style="double">
        <color theme="1" tint="0.499984740745262"/>
      </right>
      <top style="double">
        <color theme="1" tint="0.499984740745262"/>
      </top>
      <bottom style="double">
        <color theme="1" tint="0.499984740745262"/>
      </bottom>
      <diagonal/>
    </border>
    <border>
      <left style="thin">
        <color indexed="64"/>
      </left>
      <right/>
      <top style="double">
        <color indexed="8"/>
      </top>
      <bottom style="thin">
        <color indexed="8"/>
      </bottom>
      <diagonal/>
    </border>
    <border>
      <left/>
      <right/>
      <top style="double">
        <color indexed="8"/>
      </top>
      <bottom style="thin">
        <color indexed="8"/>
      </bottom>
      <diagonal/>
    </border>
    <border>
      <left/>
      <right style="double">
        <color theme="0" tint="-0.499984740745262"/>
      </right>
      <top style="double">
        <color indexed="8"/>
      </top>
      <bottom style="thin">
        <color indexed="8"/>
      </bottom>
      <diagonal/>
    </border>
    <border>
      <left style="thin">
        <color indexed="64"/>
      </left>
      <right style="double">
        <color indexed="8"/>
      </right>
      <top style="thin">
        <color indexed="8"/>
      </top>
      <bottom style="double">
        <color theme="0" tint="-0.499984740745262"/>
      </bottom>
      <diagonal/>
    </border>
    <border>
      <left style="double">
        <color indexed="8"/>
      </left>
      <right/>
      <top style="thin">
        <color indexed="8"/>
      </top>
      <bottom style="double">
        <color theme="0" tint="-0.499984740745262"/>
      </bottom>
      <diagonal/>
    </border>
    <border>
      <left style="thin">
        <color indexed="64"/>
      </left>
      <right/>
      <top style="thin">
        <color indexed="8"/>
      </top>
      <bottom style="double">
        <color theme="0" tint="-0.499984740745262"/>
      </bottom>
      <diagonal/>
    </border>
    <border>
      <left/>
      <right/>
      <top style="thin">
        <color indexed="8"/>
      </top>
      <bottom style="double">
        <color theme="0" tint="-0.499984740745262"/>
      </bottom>
      <diagonal/>
    </border>
    <border>
      <left/>
      <right style="double">
        <color theme="0" tint="-0.499984740745262"/>
      </right>
      <top style="thin">
        <color indexed="8"/>
      </top>
      <bottom style="double">
        <color theme="0" tint="-0.499984740745262"/>
      </bottom>
      <diagonal/>
    </border>
    <border>
      <left style="double">
        <color indexed="64"/>
      </left>
      <right style="thin">
        <color indexed="64"/>
      </right>
      <top style="thin">
        <color indexed="64"/>
      </top>
      <bottom style="double">
        <color theme="0" tint="-0.499984740745262"/>
      </bottom>
      <diagonal/>
    </border>
    <border>
      <left style="thin">
        <color indexed="64"/>
      </left>
      <right/>
      <top style="double">
        <color theme="0" tint="-0.499984740745262"/>
      </top>
      <bottom style="double">
        <color theme="0" tint="-0.499984740745262"/>
      </bottom>
      <diagonal/>
    </border>
    <border>
      <left style="double">
        <color indexed="64"/>
      </left>
      <right style="thin">
        <color theme="1" tint="0.499984740745262"/>
      </right>
      <top style="double">
        <color theme="0" tint="-0.499984740745262"/>
      </top>
      <bottom style="double">
        <color theme="0" tint="-0.499984740745262"/>
      </bottom>
      <diagonal/>
    </border>
    <border>
      <left style="thin">
        <color theme="1" tint="0.499984740745262"/>
      </left>
      <right/>
      <top style="double">
        <color theme="0" tint="-0.499984740745262"/>
      </top>
      <bottom style="double">
        <color theme="0" tint="-0.499984740745262"/>
      </bottom>
      <diagonal/>
    </border>
    <border>
      <left/>
      <right/>
      <top style="double">
        <color theme="0" tint="-0.499984740745262"/>
      </top>
      <bottom style="double">
        <color theme="0" tint="-0.499984740745262"/>
      </bottom>
      <diagonal/>
    </border>
    <border>
      <left/>
      <right style="double">
        <color theme="0" tint="-0.499984740745262"/>
      </right>
      <top style="double">
        <color theme="0" tint="-0.499984740745262"/>
      </top>
      <bottom style="double">
        <color theme="0" tint="-0.499984740745262"/>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style="double">
        <color auto="1"/>
      </right>
      <top/>
      <bottom/>
      <diagonal/>
    </border>
    <border>
      <left style="thin">
        <color indexed="64"/>
      </left>
      <right style="thin">
        <color indexed="64"/>
      </right>
      <top style="thin">
        <color indexed="8"/>
      </top>
      <bottom/>
      <diagonal/>
    </border>
    <border>
      <left/>
      <right style="double">
        <color indexed="64"/>
      </right>
      <top/>
      <bottom/>
      <diagonal/>
    </border>
    <border>
      <left style="thin">
        <color indexed="64"/>
      </left>
      <right style="thin">
        <color indexed="8"/>
      </right>
      <top style="thin">
        <color indexed="64"/>
      </top>
      <bottom/>
      <diagonal/>
    </border>
    <border>
      <left style="thin">
        <color indexed="8"/>
      </left>
      <right style="thin">
        <color indexed="64"/>
      </right>
      <top style="thin">
        <color indexed="64"/>
      </top>
      <bottom/>
      <diagonal/>
    </border>
    <border>
      <left/>
      <right/>
      <top/>
      <bottom style="thin">
        <color indexed="8"/>
      </bottom>
      <diagonal/>
    </border>
    <border>
      <left/>
      <right/>
      <top/>
      <bottom style="double">
        <color indexed="8"/>
      </bottom>
      <diagonal/>
    </border>
    <border>
      <left/>
      <right/>
      <top/>
      <bottom style="double">
        <color indexed="64"/>
      </bottom>
      <diagonal/>
    </border>
    <border>
      <left style="thin">
        <color indexed="64"/>
      </left>
      <right/>
      <top style="double">
        <color indexed="8"/>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auto="1"/>
      </left>
      <right/>
      <top style="double">
        <color indexed="64"/>
      </top>
      <bottom style="thin">
        <color indexed="8"/>
      </bottom>
      <diagonal/>
    </border>
    <border>
      <left/>
      <right/>
      <top style="thin">
        <color indexed="8"/>
      </top>
      <bottom/>
      <diagonal/>
    </border>
    <border>
      <left/>
      <right/>
      <top style="thin">
        <color indexed="8"/>
      </top>
      <bottom style="thin">
        <color indexed="64"/>
      </bottom>
      <diagonal/>
    </border>
    <border>
      <left/>
      <right style="thin">
        <color indexed="64"/>
      </right>
      <top style="thin">
        <color indexed="8"/>
      </top>
      <bottom style="thin">
        <color indexed="8"/>
      </bottom>
      <diagonal/>
    </border>
    <border>
      <left style="double">
        <color indexed="8"/>
      </left>
      <right style="thin">
        <color indexed="64"/>
      </right>
      <top style="double">
        <color indexed="8"/>
      </top>
      <bottom style="double">
        <color indexed="64"/>
      </bottom>
      <diagonal/>
    </border>
    <border>
      <left/>
      <right style="thin">
        <color indexed="64"/>
      </right>
      <top style="double">
        <color indexed="8"/>
      </top>
      <bottom style="double">
        <color indexed="64"/>
      </bottom>
      <diagonal/>
    </border>
    <border>
      <left/>
      <right style="thin">
        <color indexed="8"/>
      </right>
      <top/>
      <bottom style="thin">
        <color indexed="8"/>
      </bottom>
      <diagonal/>
    </border>
    <border>
      <left style="double">
        <color indexed="8"/>
      </left>
      <right style="thin">
        <color indexed="64"/>
      </right>
      <top style="thin">
        <color indexed="8"/>
      </top>
      <bottom style="thin">
        <color indexed="8"/>
      </bottom>
      <diagonal/>
    </border>
    <border>
      <left/>
      <right style="thin">
        <color indexed="8"/>
      </right>
      <top/>
      <bottom style="double">
        <color indexed="64"/>
      </bottom>
      <diagonal/>
    </border>
    <border>
      <left style="double">
        <color indexed="8"/>
      </left>
      <right style="thin">
        <color indexed="64"/>
      </right>
      <top style="thin">
        <color indexed="8"/>
      </top>
      <bottom style="double">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double">
        <color indexed="8"/>
      </bottom>
      <diagonal/>
    </border>
    <border>
      <left style="thin">
        <color indexed="64"/>
      </left>
      <right style="double">
        <color indexed="8"/>
      </right>
      <top style="double">
        <color indexed="64"/>
      </top>
      <bottom style="double">
        <color indexed="64"/>
      </bottom>
      <diagonal/>
    </border>
    <border>
      <left style="double">
        <color indexed="8"/>
      </left>
      <right style="thin">
        <color indexed="64"/>
      </right>
      <top style="double">
        <color indexed="64"/>
      </top>
      <bottom style="thin">
        <color indexed="8"/>
      </bottom>
      <diagonal/>
    </border>
    <border>
      <left style="thin">
        <color indexed="64"/>
      </left>
      <right/>
      <top style="thin">
        <color indexed="64"/>
      </top>
      <bottom style="double">
        <color indexed="64"/>
      </bottom>
      <diagonal/>
    </border>
    <border>
      <left style="double">
        <color indexed="8"/>
      </left>
      <right/>
      <top style="thin">
        <color indexed="8"/>
      </top>
      <bottom style="thin">
        <color indexed="8"/>
      </bottom>
      <diagonal/>
    </border>
    <border>
      <left/>
      <right/>
      <top style="thin">
        <color indexed="8"/>
      </top>
      <bottom style="thin">
        <color indexed="8"/>
      </bottom>
      <diagonal/>
    </border>
    <border>
      <left style="thin">
        <color auto="1"/>
      </left>
      <right/>
      <top style="thin">
        <color indexed="8"/>
      </top>
      <bottom style="thin">
        <color indexed="8"/>
      </bottom>
      <diagonal/>
    </border>
    <border>
      <left style="double">
        <color indexed="8"/>
      </left>
      <right style="thin">
        <color indexed="8"/>
      </right>
      <top style="thin">
        <color indexed="8"/>
      </top>
      <bottom style="thin">
        <color indexed="8"/>
      </bottom>
      <diagonal/>
    </border>
    <border>
      <left style="thin">
        <color indexed="64"/>
      </left>
      <right/>
      <top style="thin">
        <color indexed="8"/>
      </top>
      <bottom style="thin">
        <color indexed="8"/>
      </bottom>
      <diagonal/>
    </border>
    <border>
      <left/>
      <right/>
      <top/>
      <bottom style="thin">
        <color indexed="8"/>
      </bottom>
      <diagonal/>
    </border>
    <border>
      <left/>
      <right style="double">
        <color indexed="64"/>
      </right>
      <top style="thin">
        <color indexed="8"/>
      </top>
      <bottom style="double">
        <color indexed="64"/>
      </bottom>
      <diagonal/>
    </border>
    <border>
      <left style="thin">
        <color auto="1"/>
      </left>
      <right style="thin">
        <color indexed="64"/>
      </right>
      <top/>
      <bottom style="thin">
        <color indexed="8"/>
      </bottom>
      <diagonal/>
    </border>
    <border>
      <left/>
      <right style="double">
        <color indexed="8"/>
      </right>
      <top/>
      <bottom style="thin">
        <color indexed="8"/>
      </bottom>
      <diagonal/>
    </border>
    <border>
      <left/>
      <right style="double">
        <color indexed="8"/>
      </right>
      <top style="thin">
        <color indexed="8"/>
      </top>
      <bottom style="thin">
        <color indexed="8"/>
      </bottom>
      <diagonal/>
    </border>
    <border>
      <left/>
      <right style="double">
        <color indexed="8"/>
      </right>
      <top style="thin">
        <color indexed="8"/>
      </top>
      <bottom style="double">
        <color indexed="64"/>
      </bottom>
      <diagonal/>
    </border>
    <border>
      <left style="thin">
        <color indexed="64"/>
      </left>
      <right style="thin">
        <color indexed="64"/>
      </right>
      <top style="double">
        <color indexed="8"/>
      </top>
      <bottom style="double">
        <color indexed="64"/>
      </bottom>
      <diagonal/>
    </border>
    <border>
      <left style="thin">
        <color indexed="64"/>
      </left>
      <right style="thin">
        <color indexed="64"/>
      </right>
      <top style="thin">
        <color indexed="8"/>
      </top>
      <bottom style="thin">
        <color indexed="8"/>
      </bottom>
      <diagonal/>
    </border>
    <border>
      <left style="thin">
        <color indexed="64"/>
      </left>
      <right style="thin">
        <color indexed="64"/>
      </right>
      <top style="thin">
        <color indexed="8"/>
      </top>
      <bottom style="double">
        <color indexed="64"/>
      </bottom>
      <diagonal/>
    </border>
    <border>
      <left/>
      <right style="thin">
        <color indexed="64"/>
      </right>
      <top/>
      <bottom style="thin">
        <color indexed="8"/>
      </bottom>
      <diagonal/>
    </border>
    <border>
      <left/>
      <right style="thin">
        <color auto="1"/>
      </right>
      <top/>
      <bottom style="double">
        <color indexed="64"/>
      </bottom>
      <diagonal/>
    </border>
    <border>
      <left style="thin">
        <color indexed="64"/>
      </left>
      <right style="double">
        <color indexed="8"/>
      </right>
      <top style="double">
        <color indexed="64"/>
      </top>
      <bottom style="thin">
        <color indexed="64"/>
      </bottom>
      <diagonal/>
    </border>
    <border>
      <left style="thin">
        <color indexed="8"/>
      </left>
      <right style="double">
        <color indexed="8"/>
      </right>
      <top/>
      <bottom style="thin">
        <color indexed="8"/>
      </bottom>
      <diagonal/>
    </border>
    <border>
      <left style="thin">
        <color indexed="8"/>
      </left>
      <right style="double">
        <color indexed="8"/>
      </right>
      <top style="thin">
        <color indexed="8"/>
      </top>
      <bottom style="double">
        <color indexed="64"/>
      </bottom>
      <diagonal/>
    </border>
    <border>
      <left style="thin">
        <color indexed="64"/>
      </left>
      <right/>
      <top/>
      <bottom style="thin">
        <color indexed="64"/>
      </bottom>
      <diagonal/>
    </border>
    <border>
      <left/>
      <right/>
      <top style="thin">
        <color auto="1"/>
      </top>
      <bottom style="thin">
        <color auto="1"/>
      </bottom>
      <diagonal/>
    </border>
    <border>
      <left/>
      <right style="thin">
        <color indexed="64"/>
      </right>
      <top style="thin">
        <color auto="1"/>
      </top>
      <bottom style="thin">
        <color auto="1"/>
      </bottom>
      <diagonal/>
    </border>
    <border>
      <left style="thin">
        <color indexed="64"/>
      </left>
      <right/>
      <top style="thin">
        <color indexed="64"/>
      </top>
      <bottom style="thin">
        <color indexed="64"/>
      </bottom>
      <diagonal/>
    </border>
    <border>
      <left/>
      <right style="thin">
        <color indexed="64"/>
      </right>
      <top/>
      <bottom style="thin">
        <color auto="1"/>
      </bottom>
      <diagonal/>
    </border>
    <border>
      <left/>
      <right style="thin">
        <color indexed="64"/>
      </right>
      <top style="thin">
        <color indexed="64"/>
      </top>
      <bottom style="double">
        <color indexed="64"/>
      </bottom>
      <diagonal/>
    </border>
    <border>
      <left/>
      <right style="thin">
        <color indexed="64"/>
      </right>
      <top style="thin">
        <color indexed="8"/>
      </top>
      <bottom style="thin">
        <color indexed="8"/>
      </bottom>
      <diagonal/>
    </border>
    <border>
      <left style="double">
        <color theme="0" tint="-0.499984740745262"/>
      </left>
      <right style="thin">
        <color theme="0" tint="-0.499984740745262"/>
      </right>
      <top/>
      <bottom style="double">
        <color theme="0" tint="-0.499984740745262"/>
      </bottom>
      <diagonal/>
    </border>
    <border>
      <left style="thin">
        <color theme="0" tint="-0.499984740745262"/>
      </left>
      <right style="thin">
        <color theme="0" tint="-0.499984740745262"/>
      </right>
      <top/>
      <bottom style="double">
        <color theme="0" tint="-0.499984740745262"/>
      </bottom>
      <diagonal/>
    </border>
    <border>
      <left style="thin">
        <color theme="0" tint="-0.499984740745262"/>
      </left>
      <right style="double">
        <color theme="0" tint="-0.499984740745262"/>
      </right>
      <top/>
      <bottom style="double">
        <color theme="0" tint="-0.499984740745262"/>
      </bottom>
      <diagonal/>
    </border>
    <border>
      <left style="double">
        <color theme="0" tint="-0.499984740745262"/>
      </left>
      <right/>
      <top/>
      <bottom style="thin">
        <color theme="0" tint="-0.499984740745262"/>
      </bottom>
      <diagonal/>
    </border>
    <border>
      <left/>
      <right/>
      <top/>
      <bottom style="thin">
        <color theme="0" tint="-0.499984740745262"/>
      </bottom>
      <diagonal/>
    </border>
    <border>
      <left style="double">
        <color theme="0" tint="-0.499984740745262"/>
      </left>
      <right style="thin">
        <color theme="0" tint="-0.499984740745262"/>
      </right>
      <top style="double">
        <color theme="0" tint="-0.499984740745262"/>
      </top>
      <bottom style="thin">
        <color theme="0" tint="-0.499984740745262"/>
      </bottom>
      <diagonal/>
    </border>
    <border>
      <left style="thin">
        <color theme="0" tint="-0.499984740745262"/>
      </left>
      <right style="thin">
        <color theme="0" tint="-0.499984740745262"/>
      </right>
      <top style="double">
        <color theme="0" tint="-0.499984740745262"/>
      </top>
      <bottom style="thin">
        <color theme="0" tint="-0.499984740745262"/>
      </bottom>
      <diagonal/>
    </border>
    <border>
      <left style="thin">
        <color theme="0" tint="-0.499984740745262"/>
      </left>
      <right style="double">
        <color theme="0" tint="-0.499984740745262"/>
      </right>
      <top style="double">
        <color theme="0" tint="-0.499984740745262"/>
      </top>
      <bottom style="thin">
        <color theme="0" tint="-0.499984740745262"/>
      </bottom>
      <diagonal/>
    </border>
    <border>
      <left style="double">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style="double">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double">
        <color theme="0" tint="-0.499984740745262"/>
      </right>
      <top style="thin">
        <color theme="0" tint="-0.499984740745262"/>
      </top>
      <bottom style="thin">
        <color theme="0" tint="-0.499984740745262"/>
      </bottom>
      <diagonal/>
    </border>
    <border>
      <left style="double">
        <color theme="0" tint="-0.499984740745262"/>
      </left>
      <right/>
      <top style="thin">
        <color theme="0" tint="-0.499984740745262"/>
      </top>
      <bottom style="double">
        <color theme="0" tint="-0.499984740745262"/>
      </bottom>
      <diagonal/>
    </border>
    <border>
      <left/>
      <right/>
      <top style="thin">
        <color theme="0" tint="-0.499984740745262"/>
      </top>
      <bottom style="double">
        <color theme="0" tint="-0.499984740745262"/>
      </bottom>
      <diagonal/>
    </border>
    <border>
      <left style="double">
        <color theme="0" tint="-0.499984740745262"/>
      </left>
      <right style="thin">
        <color theme="0" tint="-0.499984740745262"/>
      </right>
      <top style="thin">
        <color theme="0" tint="-0.499984740745262"/>
      </top>
      <bottom style="double">
        <color theme="0" tint="-0.499984740745262"/>
      </bottom>
      <diagonal/>
    </border>
    <border>
      <left style="thin">
        <color theme="0" tint="-0.499984740745262"/>
      </left>
      <right style="thin">
        <color theme="0" tint="-0.499984740745262"/>
      </right>
      <top style="thin">
        <color theme="0" tint="-0.499984740745262"/>
      </top>
      <bottom style="double">
        <color theme="0" tint="-0.499984740745262"/>
      </bottom>
      <diagonal/>
    </border>
    <border>
      <left style="thin">
        <color theme="0" tint="-0.499984740745262"/>
      </left>
      <right style="double">
        <color theme="0" tint="-0.499984740745262"/>
      </right>
      <top style="thin">
        <color theme="0" tint="-0.499984740745262"/>
      </top>
      <bottom style="double">
        <color theme="0" tint="-0.499984740745262"/>
      </bottom>
      <diagonal/>
    </border>
    <border>
      <left style="double">
        <color theme="0" tint="-0.499984740745262"/>
      </left>
      <right style="thin">
        <color theme="0" tint="-0.499984740745262"/>
      </right>
      <top style="double">
        <color theme="0" tint="-0.499984740745262"/>
      </top>
      <bottom style="double">
        <color theme="0" tint="-0.499984740745262"/>
      </bottom>
      <diagonal/>
    </border>
    <border>
      <left style="thin">
        <color theme="0" tint="-0.499984740745262"/>
      </left>
      <right style="thin">
        <color theme="0" tint="-0.499984740745262"/>
      </right>
      <top style="double">
        <color theme="0" tint="-0.499984740745262"/>
      </top>
      <bottom style="double">
        <color theme="0" tint="-0.499984740745262"/>
      </bottom>
      <diagonal/>
    </border>
    <border>
      <left style="thin">
        <color theme="0" tint="-0.499984740745262"/>
      </left>
      <right style="double">
        <color theme="0" tint="-0.499984740745262"/>
      </right>
      <top style="double">
        <color theme="0" tint="-0.499984740745262"/>
      </top>
      <bottom style="double">
        <color theme="0" tint="-0.499984740745262"/>
      </bottom>
      <diagonal/>
    </border>
    <border>
      <left/>
      <right/>
      <top style="double">
        <color theme="0" tint="-0.499984740745262"/>
      </top>
      <bottom style="thin">
        <color indexed="64"/>
      </bottom>
      <diagonal/>
    </border>
    <border>
      <left style="thin">
        <color theme="0" tint="-0.499984740745262"/>
      </left>
      <right/>
      <top style="double">
        <color theme="0" tint="-0.499984740745262"/>
      </top>
      <bottom style="thin">
        <color theme="0" tint="-0.499984740745262"/>
      </bottom>
      <diagonal/>
    </border>
    <border>
      <left style="thin">
        <color theme="0" tint="-0.499984740745262"/>
      </left>
      <right/>
      <top style="thin">
        <color theme="0" tint="-0.499984740745262"/>
      </top>
      <bottom style="double">
        <color theme="0" tint="-0.499984740745262"/>
      </bottom>
      <diagonal/>
    </border>
    <border>
      <left style="double">
        <color theme="0" tint="-0.499984740745262"/>
      </left>
      <right/>
      <top style="double">
        <color theme="0" tint="-0.499984740745262"/>
      </top>
      <bottom style="thin">
        <color theme="0" tint="-0.499984740745262"/>
      </bottom>
      <diagonal/>
    </border>
    <border>
      <left/>
      <right style="double">
        <color theme="0" tint="-0.499984740745262"/>
      </right>
      <top style="double">
        <color theme="0" tint="-0.499984740745262"/>
      </top>
      <bottom style="thin">
        <color theme="0" tint="-0.499984740745262"/>
      </bottom>
      <diagonal/>
    </border>
    <border>
      <left style="double">
        <color theme="0" tint="-0.499984740745262"/>
      </left>
      <right style="thin">
        <color theme="0" tint="-0.499984740745262"/>
      </right>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double">
        <color theme="0" tint="-0.499984740745262"/>
      </right>
      <top/>
      <bottom style="thin">
        <color theme="0" tint="-0.499984740745262"/>
      </bottom>
      <diagonal/>
    </border>
    <border>
      <left/>
      <right style="double">
        <color theme="0" tint="-0.499984740745262"/>
      </right>
      <top/>
      <bottom style="thin">
        <color theme="0" tint="-0.499984740745262"/>
      </bottom>
      <diagonal/>
    </border>
    <border>
      <left/>
      <right style="double">
        <color theme="0" tint="-0.499984740745262"/>
      </right>
      <top style="thin">
        <color theme="0" tint="-0.499984740745262"/>
      </top>
      <bottom style="thin">
        <color theme="0" tint="-0.499984740745262"/>
      </bottom>
      <diagonal/>
    </border>
    <border>
      <left style="thin">
        <color theme="0" tint="-0.499984740745262"/>
      </left>
      <right/>
      <top/>
      <bottom style="thin">
        <color theme="0" tint="-0.499984740745262"/>
      </bottom>
      <diagonal/>
    </border>
    <border>
      <left style="thin">
        <color theme="0" tint="-0.499984740745262"/>
      </left>
      <right/>
      <top style="double">
        <color theme="0" tint="-0.499984740745262"/>
      </top>
      <bottom style="double">
        <color theme="0" tint="-0.499984740745262"/>
      </bottom>
      <diagonal/>
    </border>
    <border>
      <left style="double">
        <color theme="0" tint="-0.499984740745262"/>
      </left>
      <right style="thin">
        <color indexed="64"/>
      </right>
      <top style="double">
        <color theme="0" tint="-0.499984740745262"/>
      </top>
      <bottom style="double">
        <color theme="0" tint="-0.499984740745262"/>
      </bottom>
      <diagonal/>
    </border>
    <border>
      <left/>
      <right style="double">
        <color theme="0" tint="-0.499984740745262"/>
      </right>
      <top style="thin">
        <color theme="0" tint="-0.499984740745262"/>
      </top>
      <bottom style="double">
        <color theme="0" tint="-0.499984740745262"/>
      </bottom>
      <diagonal/>
    </border>
    <border>
      <left style="double">
        <color indexed="64"/>
      </left>
      <right style="double">
        <color indexed="8"/>
      </right>
      <top style="thin">
        <color indexed="8"/>
      </top>
      <bottom style="thin">
        <color indexed="8"/>
      </bottom>
      <diagonal/>
    </border>
    <border>
      <left style="double">
        <color indexed="64"/>
      </left>
      <right/>
      <top style="thin">
        <color indexed="8"/>
      </top>
      <bottom style="thin">
        <color indexed="8"/>
      </bottom>
      <diagonal/>
    </border>
    <border>
      <left style="double">
        <color indexed="64"/>
      </left>
      <right style="thin">
        <color indexed="8"/>
      </right>
      <top style="thin">
        <color indexed="8"/>
      </top>
      <bottom style="thin">
        <color indexed="8"/>
      </bottom>
      <diagonal/>
    </border>
    <border>
      <left style="double">
        <color indexed="64"/>
      </left>
      <right style="thin">
        <color indexed="8"/>
      </right>
      <top style="thin">
        <color indexed="8"/>
      </top>
      <bottom style="double">
        <color indexed="64"/>
      </bottom>
      <diagonal/>
    </border>
    <border>
      <left style="double">
        <color indexed="64"/>
      </left>
      <right style="double">
        <color indexed="8"/>
      </right>
      <top style="double">
        <color indexed="64"/>
      </top>
      <bottom/>
      <diagonal/>
    </border>
  </borders>
  <cellStyleXfs count="10">
    <xf numFmtId="164" fontId="0" fillId="0" borderId="0"/>
    <xf numFmtId="167" fontId="6" fillId="0" borderId="0" applyFont="0" applyFill="0" applyBorder="0" applyAlignment="0" applyProtection="0"/>
    <xf numFmtId="0" fontId="106" fillId="21" borderId="12" applyNumberFormat="0" applyBorder="0" applyAlignment="0" applyProtection="0">
      <protection locked="0"/>
    </xf>
    <xf numFmtId="0" fontId="45" fillId="3" borderId="0" applyNumberFormat="0" applyBorder="0" applyAlignment="0" applyProtection="0"/>
    <xf numFmtId="0" fontId="154" fillId="4" borderId="8" applyNumberFormat="0" applyBorder="0" applyAlignment="0" applyProtection="0"/>
    <xf numFmtId="0" fontId="44" fillId="9" borderId="0" applyNumberFormat="0" applyBorder="0" applyAlignment="0" applyProtection="0"/>
    <xf numFmtId="164" fontId="22" fillId="0" borderId="0" applyNumberFormat="0" applyFill="0" applyBorder="0" applyAlignment="0" applyProtection="0"/>
    <xf numFmtId="9" fontId="6" fillId="0" borderId="0" applyFont="0" applyFill="0" applyBorder="0" applyAlignment="0" applyProtection="0"/>
    <xf numFmtId="44" fontId="6" fillId="0" borderId="0" applyFont="0" applyFill="0" applyBorder="0" applyAlignment="0" applyProtection="0"/>
    <xf numFmtId="0" fontId="21" fillId="37" borderId="0" applyNumberFormat="0" applyBorder="0" applyAlignment="0" applyProtection="0"/>
  </cellStyleXfs>
  <cellXfs count="1696">
    <xf numFmtId="164" fontId="0" fillId="0" borderId="0" xfId="0"/>
    <xf numFmtId="165" fontId="15" fillId="0" borderId="0" xfId="0" applyNumberFormat="1" applyFont="1" applyAlignment="1">
      <alignment horizontal="center" vertical="center"/>
    </xf>
    <xf numFmtId="169" fontId="9" fillId="0" borderId="0" xfId="0" applyNumberFormat="1" applyFont="1" applyAlignment="1">
      <alignment horizontal="center" vertical="center"/>
    </xf>
    <xf numFmtId="165" fontId="27" fillId="0" borderId="0" xfId="0" applyNumberFormat="1" applyFont="1" applyAlignment="1">
      <alignment horizontal="center" vertical="center"/>
    </xf>
    <xf numFmtId="169" fontId="9" fillId="0" borderId="0" xfId="0" applyNumberFormat="1" applyFont="1" applyAlignment="1">
      <alignment horizontal="right" vertical="center"/>
    </xf>
    <xf numFmtId="165" fontId="27" fillId="0" borderId="0" xfId="0" applyNumberFormat="1" applyFont="1" applyAlignment="1">
      <alignment horizontal="right" vertical="center"/>
    </xf>
    <xf numFmtId="165" fontId="33" fillId="0" borderId="0" xfId="0" applyNumberFormat="1" applyFont="1" applyAlignment="1">
      <alignment horizontal="center" vertical="center"/>
    </xf>
    <xf numFmtId="176" fontId="25" fillId="0" borderId="0" xfId="0" applyNumberFormat="1" applyFont="1" applyAlignment="1">
      <alignment vertical="center"/>
    </xf>
    <xf numFmtId="173" fontId="16" fillId="14" borderId="0" xfId="0" applyNumberFormat="1" applyFont="1" applyFill="1" applyAlignment="1">
      <alignment vertical="center"/>
    </xf>
    <xf numFmtId="173" fontId="14" fillId="14" borderId="0" xfId="0" applyNumberFormat="1" applyFont="1" applyFill="1" applyAlignment="1">
      <alignment horizontal="right" vertical="center"/>
    </xf>
    <xf numFmtId="173" fontId="13" fillId="14" borderId="0" xfId="0" applyNumberFormat="1" applyFont="1" applyFill="1" applyAlignment="1">
      <alignment horizontal="right" vertical="center"/>
    </xf>
    <xf numFmtId="8" fontId="13" fillId="14" borderId="0" xfId="0" applyNumberFormat="1" applyFont="1" applyFill="1" applyAlignment="1">
      <alignment horizontal="right" vertical="center"/>
    </xf>
    <xf numFmtId="4" fontId="21" fillId="0" borderId="0" xfId="0" applyNumberFormat="1" applyFont="1" applyAlignment="1">
      <alignment vertical="center"/>
    </xf>
    <xf numFmtId="164" fontId="26" fillId="0" borderId="0" xfId="0" applyFont="1" applyAlignment="1">
      <alignment vertical="center"/>
    </xf>
    <xf numFmtId="164" fontId="33" fillId="0" borderId="0" xfId="0" applyFont="1" applyAlignment="1">
      <alignment vertical="center"/>
    </xf>
    <xf numFmtId="164" fontId="33" fillId="0" borderId="0" xfId="0" applyFont="1" applyAlignment="1">
      <alignment horizontal="center" vertical="center"/>
    </xf>
    <xf numFmtId="168" fontId="8" fillId="0" borderId="0" xfId="0" applyNumberFormat="1" applyFont="1" applyAlignment="1">
      <alignment horizontal="center" vertical="center"/>
    </xf>
    <xf numFmtId="179" fontId="35" fillId="0" borderId="0" xfId="0" applyNumberFormat="1" applyFont="1" applyAlignment="1">
      <alignment horizontal="center" vertical="center"/>
    </xf>
    <xf numFmtId="164" fontId="24" fillId="0" borderId="0" xfId="0" applyFont="1" applyAlignment="1">
      <alignment horizontal="center" vertical="center"/>
    </xf>
    <xf numFmtId="168" fontId="28" fillId="0" borderId="0" xfId="0" applyNumberFormat="1" applyFont="1" applyAlignment="1">
      <alignment horizontal="center" vertical="center"/>
    </xf>
    <xf numFmtId="164" fontId="8" fillId="0" borderId="0" xfId="0" applyFont="1" applyAlignment="1">
      <alignment horizontal="right" vertical="center"/>
    </xf>
    <xf numFmtId="164" fontId="8" fillId="0" borderId="0" xfId="0" applyFont="1" applyAlignment="1">
      <alignment horizontal="center" vertical="center"/>
    </xf>
    <xf numFmtId="164" fontId="33" fillId="0" borderId="0" xfId="0" applyFont="1" applyAlignment="1">
      <alignment horizontal="right" vertical="center"/>
    </xf>
    <xf numFmtId="169" fontId="36" fillId="0" borderId="0" xfId="0" applyNumberFormat="1" applyFont="1" applyAlignment="1">
      <alignment horizontal="center" vertical="center"/>
    </xf>
    <xf numFmtId="164" fontId="37" fillId="0" borderId="0" xfId="0" applyFont="1" applyAlignment="1">
      <alignment vertical="center"/>
    </xf>
    <xf numFmtId="164" fontId="26" fillId="0" borderId="0" xfId="0" applyFont="1" applyAlignment="1">
      <alignment horizontal="center" vertical="center"/>
    </xf>
    <xf numFmtId="168" fontId="38" fillId="0" borderId="0" xfId="0" applyNumberFormat="1" applyFont="1" applyAlignment="1">
      <alignment horizontal="center" vertical="center"/>
    </xf>
    <xf numFmtId="168" fontId="39" fillId="0" borderId="0" xfId="0" applyNumberFormat="1" applyFont="1" applyAlignment="1">
      <alignment vertical="center"/>
    </xf>
    <xf numFmtId="168" fontId="39" fillId="0" borderId="0" xfId="0" applyNumberFormat="1" applyFont="1" applyAlignment="1">
      <alignment horizontal="center" vertical="center"/>
    </xf>
    <xf numFmtId="179" fontId="40" fillId="0" borderId="0" xfId="0" applyNumberFormat="1" applyFont="1" applyAlignment="1">
      <alignment vertical="center"/>
    </xf>
    <xf numFmtId="14" fontId="36" fillId="0" borderId="0" xfId="0" applyNumberFormat="1" applyFont="1" applyAlignment="1">
      <alignment horizontal="center" vertical="center"/>
    </xf>
    <xf numFmtId="1" fontId="51" fillId="0" borderId="0" xfId="0" applyNumberFormat="1" applyFont="1" applyAlignment="1">
      <alignment horizontal="center" vertical="center"/>
    </xf>
    <xf numFmtId="1" fontId="50" fillId="0" borderId="0" xfId="0" applyNumberFormat="1" applyFont="1" applyAlignment="1">
      <alignment vertical="center"/>
    </xf>
    <xf numFmtId="173" fontId="48" fillId="14" borderId="0" xfId="0" applyNumberFormat="1" applyFont="1" applyFill="1" applyAlignment="1">
      <alignment horizontal="right" vertical="center"/>
    </xf>
    <xf numFmtId="8" fontId="48" fillId="14" borderId="0" xfId="0" applyNumberFormat="1" applyFont="1" applyFill="1" applyAlignment="1">
      <alignment horizontal="right" vertical="center"/>
    </xf>
    <xf numFmtId="4" fontId="15" fillId="0" borderId="0" xfId="0" applyNumberFormat="1" applyFont="1" applyAlignment="1">
      <alignment vertical="center"/>
    </xf>
    <xf numFmtId="4" fontId="49" fillId="0" borderId="0" xfId="0" applyNumberFormat="1" applyFont="1" applyAlignment="1" applyProtection="1">
      <alignment horizontal="center" vertical="center"/>
      <protection locked="0"/>
    </xf>
    <xf numFmtId="4" fontId="49" fillId="0" borderId="0" xfId="0" applyNumberFormat="1" applyFont="1" applyAlignment="1">
      <alignment vertical="center"/>
    </xf>
    <xf numFmtId="164" fontId="21" fillId="0" borderId="0" xfId="0" applyFont="1" applyAlignment="1">
      <alignment vertical="center"/>
    </xf>
    <xf numFmtId="164" fontId="3" fillId="0" borderId="0" xfId="0" applyFont="1" applyAlignment="1" applyProtection="1">
      <alignment vertical="center"/>
      <protection locked="0"/>
    </xf>
    <xf numFmtId="4" fontId="24" fillId="0" borderId="0" xfId="0" applyNumberFormat="1" applyFont="1" applyAlignment="1">
      <alignment horizontal="center" vertical="center"/>
    </xf>
    <xf numFmtId="4" fontId="15" fillId="0" borderId="0" xfId="0" applyNumberFormat="1" applyFont="1" applyAlignment="1">
      <alignment horizontal="center" vertical="center"/>
    </xf>
    <xf numFmtId="179" fontId="15" fillId="0" borderId="0" xfId="0" applyNumberFormat="1" applyFont="1" applyAlignment="1">
      <alignment vertical="center"/>
    </xf>
    <xf numFmtId="166" fontId="15" fillId="0" borderId="0" xfId="0" applyNumberFormat="1" applyFont="1" applyAlignment="1">
      <alignment vertical="center"/>
    </xf>
    <xf numFmtId="166" fontId="13" fillId="0" borderId="0" xfId="0" applyNumberFormat="1" applyFont="1" applyAlignment="1">
      <alignment vertical="center"/>
    </xf>
    <xf numFmtId="166" fontId="26" fillId="0" borderId="0" xfId="0" applyNumberFormat="1" applyFont="1" applyAlignment="1">
      <alignment vertical="center"/>
    </xf>
    <xf numFmtId="166" fontId="33" fillId="0" borderId="0" xfId="0" applyNumberFormat="1" applyFont="1" applyAlignment="1">
      <alignment horizontal="right" vertical="center"/>
    </xf>
    <xf numFmtId="168" fontId="40" fillId="0" borderId="0" xfId="0" applyNumberFormat="1" applyFont="1" applyAlignment="1">
      <alignment vertical="center"/>
    </xf>
    <xf numFmtId="166" fontId="54" fillId="0" borderId="0" xfId="0" applyNumberFormat="1" applyFont="1" applyAlignment="1">
      <alignment horizontal="center" vertical="center"/>
    </xf>
    <xf numFmtId="164" fontId="26" fillId="0" borderId="0" xfId="0" applyFont="1" applyAlignment="1">
      <alignment horizontal="right" vertical="center"/>
    </xf>
    <xf numFmtId="4" fontId="21" fillId="0" borderId="0" xfId="0" applyNumberFormat="1" applyFont="1" applyAlignment="1">
      <alignment horizontal="center" vertical="center"/>
    </xf>
    <xf numFmtId="166" fontId="19" fillId="18" borderId="66" xfId="0" applyNumberFormat="1" applyFont="1" applyFill="1" applyBorder="1" applyAlignment="1">
      <alignment vertical="center"/>
    </xf>
    <xf numFmtId="166" fontId="69" fillId="0" borderId="0" xfId="0" applyNumberFormat="1" applyFont="1" applyAlignment="1">
      <alignment vertical="center"/>
    </xf>
    <xf numFmtId="4" fontId="49" fillId="0" borderId="68" xfId="0" applyNumberFormat="1" applyFont="1" applyBorder="1" applyAlignment="1">
      <alignment horizontal="center" vertical="center"/>
    </xf>
    <xf numFmtId="4" fontId="49" fillId="0" borderId="68" xfId="0" applyNumberFormat="1" applyFont="1" applyBorder="1" applyAlignment="1">
      <alignment vertical="center"/>
    </xf>
    <xf numFmtId="179" fontId="49" fillId="0" borderId="68" xfId="0" applyNumberFormat="1" applyFont="1" applyBorder="1" applyAlignment="1">
      <alignment vertical="center"/>
    </xf>
    <xf numFmtId="1" fontId="49" fillId="0" borderId="68" xfId="0" applyNumberFormat="1" applyFont="1" applyBorder="1" applyAlignment="1">
      <alignment vertical="center"/>
    </xf>
    <xf numFmtId="4" fontId="49" fillId="0" borderId="68" xfId="0" applyNumberFormat="1" applyFont="1" applyBorder="1" applyAlignment="1">
      <alignment horizontal="right" vertical="center"/>
    </xf>
    <xf numFmtId="14" fontId="43" fillId="6" borderId="49" xfId="0" applyNumberFormat="1" applyFont="1" applyFill="1" applyBorder="1" applyAlignment="1">
      <alignment horizontal="center" vertical="center"/>
    </xf>
    <xf numFmtId="165" fontId="43" fillId="6" borderId="49" xfId="0" applyNumberFormat="1" applyFont="1" applyFill="1" applyBorder="1" applyAlignment="1">
      <alignment vertical="center"/>
    </xf>
    <xf numFmtId="165" fontId="43" fillId="6" borderId="48" xfId="0" applyNumberFormat="1" applyFont="1" applyFill="1" applyBorder="1" applyAlignment="1">
      <alignment vertical="center"/>
    </xf>
    <xf numFmtId="168" fontId="60" fillId="6" borderId="49" xfId="0" applyNumberFormat="1" applyFont="1" applyFill="1" applyBorder="1" applyAlignment="1">
      <alignment horizontal="center" vertical="center"/>
    </xf>
    <xf numFmtId="168" fontId="30" fillId="6" borderId="49" xfId="0" applyNumberFormat="1" applyFont="1" applyFill="1" applyBorder="1" applyAlignment="1">
      <alignment horizontal="center" vertical="center"/>
    </xf>
    <xf numFmtId="168" fontId="41" fillId="6" borderId="72" xfId="0" quotePrefix="1" applyNumberFormat="1" applyFont="1" applyFill="1" applyBorder="1" applyAlignment="1">
      <alignment horizontal="center" vertical="center"/>
    </xf>
    <xf numFmtId="179" fontId="41" fillId="6" borderId="73" xfId="0" applyNumberFormat="1" applyFont="1" applyFill="1" applyBorder="1" applyAlignment="1">
      <alignment horizontal="center" vertical="center"/>
    </xf>
    <xf numFmtId="166" fontId="34" fillId="6" borderId="50" xfId="0" applyNumberFormat="1" applyFont="1" applyFill="1" applyBorder="1" applyAlignment="1">
      <alignment vertical="center"/>
    </xf>
    <xf numFmtId="164" fontId="88" fillId="0" borderId="0" xfId="0" applyFont="1" applyAlignment="1">
      <alignment vertical="center"/>
    </xf>
    <xf numFmtId="14" fontId="21" fillId="0" borderId="0" xfId="0" applyNumberFormat="1" applyFont="1" applyAlignment="1">
      <alignment horizontal="center" vertical="center"/>
    </xf>
    <xf numFmtId="164" fontId="21" fillId="0" borderId="0" xfId="0" applyFont="1" applyAlignment="1">
      <alignment horizontal="right" vertical="center"/>
    </xf>
    <xf numFmtId="168" fontId="21" fillId="0" borderId="0" xfId="0" applyNumberFormat="1" applyFont="1" applyAlignment="1">
      <alignment horizontal="center" vertical="center"/>
    </xf>
    <xf numFmtId="168" fontId="21" fillId="0" borderId="0" xfId="0" applyNumberFormat="1" applyFont="1" applyAlignment="1">
      <alignment vertical="center"/>
    </xf>
    <xf numFmtId="179" fontId="21" fillId="0" borderId="0" xfId="0" applyNumberFormat="1" applyFont="1" applyAlignment="1">
      <alignment vertical="center"/>
    </xf>
    <xf numFmtId="4" fontId="49" fillId="0" borderId="0" xfId="0" applyNumberFormat="1" applyFont="1" applyAlignment="1">
      <alignment horizontal="center" vertical="center"/>
    </xf>
    <xf numFmtId="164" fontId="49" fillId="0" borderId="0" xfId="0" applyFont="1" applyAlignment="1">
      <alignment vertical="center"/>
    </xf>
    <xf numFmtId="166" fontId="15" fillId="0" borderId="0" xfId="0" applyNumberFormat="1" applyFont="1" applyAlignment="1">
      <alignment horizontal="center" vertical="center"/>
    </xf>
    <xf numFmtId="166" fontId="13" fillId="0" borderId="9" xfId="0" applyNumberFormat="1" applyFont="1" applyBorder="1" applyAlignment="1">
      <alignment vertical="center"/>
    </xf>
    <xf numFmtId="166" fontId="61" fillId="13" borderId="10" xfId="0" applyNumberFormat="1" applyFont="1" applyFill="1" applyBorder="1" applyAlignment="1">
      <alignment horizontal="center" vertical="center"/>
    </xf>
    <xf numFmtId="166" fontId="61" fillId="11" borderId="10" xfId="0" applyNumberFormat="1" applyFont="1" applyFill="1" applyBorder="1" applyAlignment="1">
      <alignment horizontal="center" vertical="center"/>
    </xf>
    <xf numFmtId="164" fontId="2" fillId="0" borderId="0" xfId="0" applyFont="1" applyAlignment="1">
      <alignment vertical="center"/>
    </xf>
    <xf numFmtId="164" fontId="4" fillId="0" borderId="0" xfId="0" applyFont="1" applyAlignment="1">
      <alignment vertical="center"/>
    </xf>
    <xf numFmtId="165" fontId="18" fillId="0" borderId="74" xfId="0" applyNumberFormat="1" applyFont="1" applyBorder="1" applyAlignment="1" applyProtection="1">
      <alignment vertical="center"/>
      <protection locked="0"/>
    </xf>
    <xf numFmtId="166" fontId="78" fillId="0" borderId="78" xfId="0" applyNumberFormat="1" applyFont="1" applyBorder="1" applyAlignment="1" applyProtection="1">
      <alignment vertical="center"/>
      <protection locked="0"/>
    </xf>
    <xf numFmtId="175" fontId="42" fillId="0" borderId="75" xfId="0" applyNumberFormat="1" applyFont="1" applyBorder="1" applyAlignment="1" applyProtection="1">
      <alignment horizontal="center" vertical="center"/>
      <protection locked="0"/>
    </xf>
    <xf numFmtId="4" fontId="42" fillId="0" borderId="79" xfId="2" applyNumberFormat="1" applyFont="1" applyFill="1" applyBorder="1" applyAlignment="1" applyProtection="1">
      <alignment vertical="center"/>
      <protection locked="0"/>
    </xf>
    <xf numFmtId="165" fontId="18" fillId="14" borderId="74" xfId="0" applyNumberFormat="1" applyFont="1" applyFill="1" applyBorder="1" applyAlignment="1" applyProtection="1">
      <alignment vertical="center"/>
      <protection locked="0"/>
    </xf>
    <xf numFmtId="166" fontId="78" fillId="6" borderId="78" xfId="0" applyNumberFormat="1" applyFont="1" applyFill="1" applyBorder="1" applyAlignment="1" applyProtection="1">
      <alignment vertical="center"/>
      <protection locked="0"/>
    </xf>
    <xf numFmtId="14" fontId="43" fillId="6" borderId="71" xfId="0" applyNumberFormat="1" applyFont="1" applyFill="1" applyBorder="1" applyAlignment="1">
      <alignment horizontal="center" vertical="center"/>
    </xf>
    <xf numFmtId="165" fontId="43" fillId="6" borderId="71" xfId="0" applyNumberFormat="1" applyFont="1" applyFill="1" applyBorder="1" applyAlignment="1">
      <alignment vertical="center"/>
    </xf>
    <xf numFmtId="165" fontId="43" fillId="6" borderId="54" xfId="0" applyNumberFormat="1" applyFont="1" applyFill="1" applyBorder="1" applyAlignment="1">
      <alignment vertical="center"/>
    </xf>
    <xf numFmtId="166" fontId="106" fillId="0" borderId="77" xfId="2" applyNumberFormat="1" applyFill="1" applyBorder="1" applyAlignment="1" applyProtection="1">
      <alignment horizontal="center" vertical="center"/>
      <protection locked="0"/>
    </xf>
    <xf numFmtId="179" fontId="79" fillId="6" borderId="84" xfId="0" applyNumberFormat="1" applyFont="1" applyFill="1" applyBorder="1" applyAlignment="1">
      <alignment horizontal="center" vertical="center"/>
    </xf>
    <xf numFmtId="168" fontId="29" fillId="6" borderId="64" xfId="0" applyNumberFormat="1" applyFont="1" applyFill="1" applyBorder="1" applyAlignment="1">
      <alignment horizontal="center" vertical="center"/>
    </xf>
    <xf numFmtId="168" fontId="53" fillId="0" borderId="0" xfId="6" applyNumberFormat="1" applyFont="1" applyFill="1" applyBorder="1" applyAlignment="1" applyProtection="1">
      <alignment horizontal="center" vertical="center"/>
    </xf>
    <xf numFmtId="0" fontId="80" fillId="0" borderId="75" xfId="0" applyNumberFormat="1" applyFont="1" applyBorder="1" applyAlignment="1" applyProtection="1">
      <alignment horizontal="right" vertical="center"/>
      <protection locked="0"/>
    </xf>
    <xf numFmtId="0" fontId="80" fillId="0" borderId="75" xfId="0" quotePrefix="1" applyNumberFormat="1" applyFont="1" applyBorder="1" applyAlignment="1" applyProtection="1">
      <alignment horizontal="right" vertical="center"/>
      <protection locked="0"/>
    </xf>
    <xf numFmtId="176" fontId="117" fillId="20" borderId="13" xfId="0" applyNumberFormat="1" applyFont="1" applyFill="1" applyBorder="1" applyAlignment="1">
      <alignment horizontal="center" vertical="center"/>
    </xf>
    <xf numFmtId="164" fontId="3" fillId="0" borderId="0" xfId="0" applyFont="1" applyAlignment="1">
      <alignment vertical="center"/>
    </xf>
    <xf numFmtId="164" fontId="55" fillId="0" borderId="0" xfId="0" applyFont="1" applyAlignment="1">
      <alignment vertical="center"/>
    </xf>
    <xf numFmtId="164" fontId="56" fillId="0" borderId="0" xfId="0" applyFont="1" applyAlignment="1">
      <alignment vertical="center"/>
    </xf>
    <xf numFmtId="164" fontId="4" fillId="7" borderId="0" xfId="0" applyFont="1" applyFill="1" applyAlignment="1">
      <alignment vertical="center"/>
    </xf>
    <xf numFmtId="164" fontId="49" fillId="7" borderId="0" xfId="0" applyFont="1" applyFill="1" applyAlignment="1">
      <alignment vertical="center"/>
    </xf>
    <xf numFmtId="166" fontId="7" fillId="14" borderId="87" xfId="0" applyNumberFormat="1" applyFont="1" applyFill="1" applyBorder="1" applyAlignment="1">
      <alignment vertical="center"/>
    </xf>
    <xf numFmtId="164" fontId="1" fillId="0" borderId="0" xfId="0" applyFont="1" applyAlignment="1">
      <alignment horizontal="center" vertical="center"/>
    </xf>
    <xf numFmtId="164" fontId="49" fillId="0" borderId="0" xfId="0" applyFont="1" applyAlignment="1">
      <alignment horizontal="center" vertical="center"/>
    </xf>
    <xf numFmtId="164" fontId="4" fillId="0" borderId="0" xfId="0" applyFont="1" applyAlignment="1">
      <alignment horizontal="center" vertical="center"/>
    </xf>
    <xf numFmtId="164" fontId="1" fillId="0" borderId="0" xfId="0" applyFont="1" applyAlignment="1">
      <alignment vertical="center"/>
    </xf>
    <xf numFmtId="174" fontId="46" fillId="0" borderId="94" xfId="0" applyNumberFormat="1" applyFont="1" applyBorder="1" applyAlignment="1">
      <alignment horizontal="center" vertical="center"/>
    </xf>
    <xf numFmtId="174" fontId="49" fillId="0" borderId="0" xfId="0" applyNumberFormat="1" applyFont="1" applyAlignment="1">
      <alignment vertical="center"/>
    </xf>
    <xf numFmtId="166" fontId="4" fillId="0" borderId="0" xfId="0" applyNumberFormat="1" applyFont="1" applyAlignment="1">
      <alignment vertical="center"/>
    </xf>
    <xf numFmtId="164" fontId="20" fillId="0" borderId="0" xfId="0" applyFont="1" applyAlignment="1">
      <alignment vertical="center"/>
    </xf>
    <xf numFmtId="1" fontId="84" fillId="5" borderId="82" xfId="0" applyNumberFormat="1" applyFont="1" applyFill="1" applyBorder="1" applyAlignment="1">
      <alignment horizontal="right" vertical="center"/>
    </xf>
    <xf numFmtId="164" fontId="4" fillId="14" borderId="90" xfId="0" applyFont="1" applyFill="1" applyBorder="1" applyAlignment="1">
      <alignment vertical="center"/>
    </xf>
    <xf numFmtId="164" fontId="4" fillId="14" borderId="5" xfId="0" applyFont="1" applyFill="1" applyBorder="1" applyAlignment="1">
      <alignment horizontal="center" vertical="center"/>
    </xf>
    <xf numFmtId="164" fontId="12" fillId="14" borderId="5" xfId="0" applyFont="1" applyFill="1" applyBorder="1" applyAlignment="1">
      <alignment vertical="center"/>
    </xf>
    <xf numFmtId="0" fontId="5" fillId="14" borderId="5" xfId="0" applyNumberFormat="1" applyFont="1" applyFill="1" applyBorder="1" applyAlignment="1">
      <alignment horizontal="center" vertical="center"/>
    </xf>
    <xf numFmtId="174" fontId="46" fillId="25" borderId="92" xfId="6" quotePrefix="1" applyNumberFormat="1" applyFont="1" applyFill="1" applyBorder="1" applyAlignment="1" applyProtection="1">
      <alignment horizontal="center" vertical="center"/>
      <protection locked="0"/>
    </xf>
    <xf numFmtId="4" fontId="65" fillId="0" borderId="0" xfId="0" applyNumberFormat="1" applyFont="1" applyAlignment="1">
      <alignment horizontal="center" vertical="center"/>
    </xf>
    <xf numFmtId="4" fontId="65" fillId="0" borderId="0" xfId="0" applyNumberFormat="1" applyFont="1" applyAlignment="1">
      <alignment vertical="center"/>
    </xf>
    <xf numFmtId="4" fontId="66" fillId="0" borderId="0" xfId="0" applyNumberFormat="1" applyFont="1" applyAlignment="1">
      <alignment vertical="center"/>
    </xf>
    <xf numFmtId="164" fontId="67" fillId="0" borderId="0" xfId="0" applyFont="1" applyAlignment="1">
      <alignment vertical="center"/>
    </xf>
    <xf numFmtId="4" fontId="70" fillId="0" borderId="0" xfId="0" applyNumberFormat="1" applyFont="1" applyAlignment="1">
      <alignment vertical="center"/>
    </xf>
    <xf numFmtId="164" fontId="72" fillId="0" borderId="0" xfId="0" applyFont="1" applyAlignment="1">
      <alignment vertical="center"/>
    </xf>
    <xf numFmtId="164" fontId="2" fillId="0" borderId="0" xfId="0" applyFont="1" applyAlignment="1">
      <alignment horizontal="center" vertical="center"/>
    </xf>
    <xf numFmtId="168" fontId="73" fillId="0" borderId="0" xfId="0" applyNumberFormat="1" applyFont="1" applyAlignment="1">
      <alignment horizontal="center" vertical="center"/>
    </xf>
    <xf numFmtId="168" fontId="74" fillId="0" borderId="0" xfId="0" applyNumberFormat="1" applyFont="1" applyAlignment="1">
      <alignment vertical="center"/>
    </xf>
    <xf numFmtId="168" fontId="75" fillId="0" borderId="0" xfId="0" applyNumberFormat="1" applyFont="1" applyAlignment="1">
      <alignment vertical="center"/>
    </xf>
    <xf numFmtId="14" fontId="71" fillId="0" borderId="0" xfId="0" applyNumberFormat="1" applyFont="1" applyAlignment="1">
      <alignment horizontal="center" vertical="center"/>
    </xf>
    <xf numFmtId="4" fontId="64" fillId="0" borderId="0" xfId="0" applyNumberFormat="1" applyFont="1" applyAlignment="1" applyProtection="1">
      <alignment horizontal="center" vertical="center"/>
      <protection locked="0"/>
    </xf>
    <xf numFmtId="164" fontId="119" fillId="15" borderId="62" xfId="0" applyFont="1" applyFill="1" applyBorder="1" applyAlignment="1">
      <alignment horizontal="center" vertical="center"/>
    </xf>
    <xf numFmtId="164" fontId="119" fillId="15" borderId="30" xfId="0" applyFont="1" applyFill="1" applyBorder="1" applyAlignment="1">
      <alignment horizontal="center" vertical="center"/>
    </xf>
    <xf numFmtId="195" fontId="82" fillId="14" borderId="45" xfId="0" applyNumberFormat="1" applyFont="1" applyFill="1" applyBorder="1" applyAlignment="1">
      <alignment horizontal="right" vertical="center"/>
    </xf>
    <xf numFmtId="194" fontId="82" fillId="14" borderId="46" xfId="0" applyNumberFormat="1" applyFont="1" applyFill="1" applyBorder="1" applyAlignment="1">
      <alignment horizontal="right" vertical="center"/>
    </xf>
    <xf numFmtId="193" fontId="82" fillId="14" borderId="47" xfId="0" applyNumberFormat="1" applyFont="1" applyFill="1" applyBorder="1" applyAlignment="1">
      <alignment horizontal="right" vertical="center"/>
    </xf>
    <xf numFmtId="181" fontId="120" fillId="15" borderId="80" xfId="0" applyNumberFormat="1" applyFont="1" applyFill="1" applyBorder="1" applyAlignment="1" applyProtection="1">
      <alignment vertical="center"/>
      <protection locked="0"/>
    </xf>
    <xf numFmtId="4" fontId="21" fillId="0" borderId="1" xfId="0" applyNumberFormat="1" applyFont="1" applyBorder="1" applyAlignment="1">
      <alignment vertical="center"/>
    </xf>
    <xf numFmtId="4" fontId="21" fillId="0" borderId="1" xfId="0" applyNumberFormat="1" applyFont="1" applyBorder="1" applyAlignment="1">
      <alignment horizontal="center" vertical="center"/>
    </xf>
    <xf numFmtId="166" fontId="106" fillId="14" borderId="77" xfId="2" applyNumberFormat="1" applyFill="1" applyBorder="1" applyAlignment="1" applyProtection="1">
      <alignment horizontal="center" vertical="center"/>
      <protection locked="0"/>
    </xf>
    <xf numFmtId="166" fontId="14" fillId="0" borderId="0" xfId="0" applyNumberFormat="1" applyFont="1" applyAlignment="1">
      <alignment horizontal="left" vertical="center"/>
    </xf>
    <xf numFmtId="200" fontId="84" fillId="14" borderId="0" xfId="0" applyNumberFormat="1" applyFont="1" applyFill="1" applyAlignment="1">
      <alignment horizontal="left" vertical="center"/>
    </xf>
    <xf numFmtId="1" fontId="121" fillId="26" borderId="101" xfId="0" applyNumberFormat="1" applyFont="1" applyFill="1" applyBorder="1" applyAlignment="1" applyProtection="1">
      <alignment horizontal="center" vertical="center"/>
      <protection locked="0"/>
    </xf>
    <xf numFmtId="174" fontId="123" fillId="26" borderId="101" xfId="6" quotePrefix="1" applyNumberFormat="1" applyFont="1" applyFill="1" applyBorder="1" applyAlignment="1" applyProtection="1">
      <alignment horizontal="center" vertical="center"/>
      <protection locked="0"/>
    </xf>
    <xf numFmtId="169" fontId="18" fillId="0" borderId="105" xfId="0" applyNumberFormat="1" applyFont="1" applyBorder="1" applyAlignment="1" applyProtection="1">
      <alignment horizontal="center" vertical="center"/>
      <protection locked="0"/>
    </xf>
    <xf numFmtId="166" fontId="126" fillId="26" borderId="31" xfId="0" applyNumberFormat="1" applyFont="1" applyFill="1" applyBorder="1" applyAlignment="1">
      <alignment horizontal="center" vertical="center"/>
    </xf>
    <xf numFmtId="166" fontId="48" fillId="0" borderId="9" xfId="0" applyNumberFormat="1" applyFont="1" applyBorder="1" applyAlignment="1">
      <alignment vertical="center"/>
    </xf>
    <xf numFmtId="166" fontId="127" fillId="0" borderId="0" xfId="0" applyNumberFormat="1" applyFont="1" applyAlignment="1">
      <alignment vertical="center"/>
    </xf>
    <xf numFmtId="1" fontId="129" fillId="0" borderId="0" xfId="0" applyNumberFormat="1" applyFont="1" applyAlignment="1" applyProtection="1">
      <alignment vertical="center"/>
      <protection locked="0"/>
    </xf>
    <xf numFmtId="1" fontId="129" fillId="0" borderId="0" xfId="0" applyNumberFormat="1" applyFont="1" applyAlignment="1">
      <alignment vertical="center"/>
    </xf>
    <xf numFmtId="1" fontId="3" fillId="0" borderId="0" xfId="0" applyNumberFormat="1" applyFont="1" applyAlignment="1">
      <alignment vertical="center"/>
    </xf>
    <xf numFmtId="1" fontId="130" fillId="0" borderId="0" xfId="0" applyNumberFormat="1" applyFont="1" applyAlignment="1">
      <alignment horizontal="center" vertical="center"/>
    </xf>
    <xf numFmtId="1" fontId="130" fillId="0" borderId="0" xfId="0" applyNumberFormat="1" applyFont="1" applyAlignment="1">
      <alignment horizontal="right" vertical="center"/>
    </xf>
    <xf numFmtId="166" fontId="61" fillId="12" borderId="10" xfId="0" applyNumberFormat="1" applyFont="1" applyFill="1" applyBorder="1" applyAlignment="1">
      <alignment horizontal="center" vertical="center"/>
    </xf>
    <xf numFmtId="4" fontId="19" fillId="0" borderId="0" xfId="0" applyNumberFormat="1" applyFont="1" applyAlignment="1">
      <alignment vertical="center"/>
    </xf>
    <xf numFmtId="166" fontId="15" fillId="14" borderId="0" xfId="0" applyNumberFormat="1" applyFont="1" applyFill="1" applyAlignment="1">
      <alignment vertical="center"/>
    </xf>
    <xf numFmtId="166" fontId="128" fillId="15" borderId="66" xfId="0" applyNumberFormat="1" applyFont="1" applyFill="1" applyBorder="1" applyAlignment="1">
      <alignment vertical="center"/>
    </xf>
    <xf numFmtId="166" fontId="128" fillId="15" borderId="67" xfId="0" applyNumberFormat="1" applyFont="1" applyFill="1" applyBorder="1" applyAlignment="1">
      <alignment vertical="center"/>
    </xf>
    <xf numFmtId="166" fontId="106" fillId="18" borderId="103" xfId="0" quotePrefix="1" applyNumberFormat="1" applyFont="1" applyFill="1" applyBorder="1" applyAlignment="1">
      <alignment vertical="center"/>
    </xf>
    <xf numFmtId="166" fontId="42" fillId="18" borderId="66" xfId="0" quotePrefix="1" applyNumberFormat="1" applyFont="1" applyFill="1" applyBorder="1" applyAlignment="1">
      <alignment vertical="center"/>
    </xf>
    <xf numFmtId="174" fontId="10" fillId="14" borderId="0" xfId="6" quotePrefix="1" applyNumberFormat="1" applyFont="1" applyFill="1" applyBorder="1" applyAlignment="1" applyProtection="1">
      <alignment horizontal="center" vertical="center"/>
    </xf>
    <xf numFmtId="164" fontId="106" fillId="18" borderId="101" xfId="0" applyFont="1" applyFill="1" applyBorder="1" applyAlignment="1">
      <alignment horizontal="center" vertical="center"/>
    </xf>
    <xf numFmtId="164" fontId="42" fillId="18" borderId="62" xfId="0" applyFont="1" applyFill="1" applyBorder="1" applyAlignment="1">
      <alignment horizontal="center" vertical="center"/>
    </xf>
    <xf numFmtId="164" fontId="42" fillId="18" borderId="101" xfId="0" applyFont="1" applyFill="1" applyBorder="1" applyAlignment="1">
      <alignment horizontal="center" vertical="center"/>
    </xf>
    <xf numFmtId="164" fontId="19" fillId="18" borderId="62" xfId="0" applyFont="1" applyFill="1" applyBorder="1" applyAlignment="1">
      <alignment vertical="center"/>
    </xf>
    <xf numFmtId="164" fontId="19" fillId="18" borderId="101" xfId="0" applyFont="1" applyFill="1" applyBorder="1" applyAlignment="1">
      <alignment vertical="center"/>
    </xf>
    <xf numFmtId="166" fontId="26" fillId="0" borderId="107" xfId="0" applyNumberFormat="1" applyFont="1" applyBorder="1" applyAlignment="1">
      <alignment vertical="center"/>
    </xf>
    <xf numFmtId="164" fontId="87" fillId="0" borderId="0" xfId="0" applyFont="1"/>
    <xf numFmtId="164" fontId="88" fillId="0" borderId="0" xfId="0" applyFont="1"/>
    <xf numFmtId="170" fontId="136" fillId="14" borderId="0" xfId="0" applyNumberFormat="1" applyFont="1" applyFill="1" applyAlignment="1">
      <alignment vertical="center"/>
    </xf>
    <xf numFmtId="164" fontId="135" fillId="14" borderId="109" xfId="0" applyFont="1" applyFill="1" applyBorder="1" applyAlignment="1">
      <alignment horizontal="center" vertical="center"/>
    </xf>
    <xf numFmtId="166" fontId="138" fillId="14" borderId="18" xfId="0" applyNumberFormat="1" applyFont="1" applyFill="1" applyBorder="1" applyAlignment="1">
      <alignment horizontal="center" vertical="center"/>
    </xf>
    <xf numFmtId="164" fontId="139" fillId="7" borderId="0" xfId="0" applyFont="1" applyFill="1" applyAlignment="1">
      <alignment horizontal="center" vertical="center"/>
    </xf>
    <xf numFmtId="164" fontId="135" fillId="14" borderId="18" xfId="0" applyFont="1" applyFill="1" applyBorder="1" applyAlignment="1" applyProtection="1">
      <alignment horizontal="center" vertical="center"/>
      <protection locked="0"/>
    </xf>
    <xf numFmtId="8" fontId="46" fillId="15" borderId="100" xfId="1" applyNumberFormat="1" applyFont="1" applyFill="1" applyBorder="1" applyAlignment="1" applyProtection="1">
      <alignment vertical="center"/>
    </xf>
    <xf numFmtId="8" fontId="10" fillId="15" borderId="100" xfId="1" applyNumberFormat="1" applyFont="1" applyFill="1" applyBorder="1" applyAlignment="1" applyProtection="1">
      <alignment vertical="center"/>
    </xf>
    <xf numFmtId="164" fontId="137" fillId="0" borderId="0" xfId="0" applyFont="1" applyAlignment="1">
      <alignment horizontal="center" vertical="center"/>
    </xf>
    <xf numFmtId="166" fontId="143" fillId="0" borderId="0" xfId="0" applyNumberFormat="1" applyFont="1" applyAlignment="1" applyProtection="1">
      <alignment horizontal="center" vertical="center"/>
      <protection locked="0"/>
    </xf>
    <xf numFmtId="184" fontId="143" fillId="0" borderId="0" xfId="0" applyNumberFormat="1" applyFont="1" applyAlignment="1">
      <alignment horizontal="center" vertical="center"/>
    </xf>
    <xf numFmtId="202" fontId="125" fillId="11" borderId="121" xfId="0" applyNumberFormat="1" applyFont="1" applyFill="1" applyBorder="1" applyAlignment="1">
      <alignment vertical="center"/>
    </xf>
    <xf numFmtId="202" fontId="125" fillId="11" borderId="123" xfId="0" applyNumberFormat="1" applyFont="1" applyFill="1" applyBorder="1" applyAlignment="1">
      <alignment vertical="center"/>
    </xf>
    <xf numFmtId="4" fontId="144" fillId="11" borderId="123" xfId="0" applyNumberFormat="1" applyFont="1" applyFill="1" applyBorder="1" applyAlignment="1">
      <alignment vertical="center"/>
    </xf>
    <xf numFmtId="202" fontId="125" fillId="11" borderId="122" xfId="0" applyNumberFormat="1" applyFont="1" applyFill="1" applyBorder="1" applyAlignment="1">
      <alignment vertical="center"/>
    </xf>
    <xf numFmtId="168" fontId="98" fillId="2" borderId="69" xfId="6" applyNumberFormat="1" applyFont="1" applyFill="1" applyBorder="1" applyAlignment="1" applyProtection="1">
      <alignment horizontal="center" vertical="center"/>
      <protection locked="0"/>
    </xf>
    <xf numFmtId="165" fontId="18" fillId="6" borderId="74" xfId="0" applyNumberFormat="1" applyFont="1" applyFill="1" applyBorder="1" applyAlignment="1" applyProtection="1">
      <alignment vertical="center"/>
      <protection locked="0"/>
    </xf>
    <xf numFmtId="0" fontId="80" fillId="6" borderId="75" xfId="0" applyNumberFormat="1" applyFont="1" applyFill="1" applyBorder="1" applyAlignment="1" applyProtection="1">
      <alignment horizontal="right" vertical="center"/>
      <protection locked="0"/>
    </xf>
    <xf numFmtId="166" fontId="106" fillId="6" borderId="77" xfId="2" applyNumberFormat="1" applyFill="1" applyBorder="1" applyAlignment="1" applyProtection="1">
      <alignment horizontal="center" vertical="center"/>
      <protection locked="0"/>
    </xf>
    <xf numFmtId="166" fontId="78" fillId="6" borderId="74" xfId="0" applyNumberFormat="1" applyFont="1" applyFill="1" applyBorder="1" applyAlignment="1" applyProtection="1">
      <alignment vertical="center"/>
      <protection locked="0"/>
    </xf>
    <xf numFmtId="166" fontId="64" fillId="0" borderId="20" xfId="0" applyNumberFormat="1" applyFont="1" applyBorder="1" applyAlignment="1">
      <alignment vertical="center"/>
    </xf>
    <xf numFmtId="174" fontId="123" fillId="29" borderId="92" xfId="6" quotePrefix="1" applyNumberFormat="1" applyFont="1" applyFill="1" applyBorder="1" applyAlignment="1" applyProtection="1">
      <alignment horizontal="center" vertical="center"/>
      <protection locked="0"/>
    </xf>
    <xf numFmtId="166" fontId="96" fillId="0" borderId="124" xfId="2" applyNumberFormat="1" applyFont="1" applyFill="1" applyBorder="1" applyAlignment="1" applyProtection="1">
      <alignment vertical="center"/>
    </xf>
    <xf numFmtId="180" fontId="3" fillId="0" borderId="0" xfId="0" applyNumberFormat="1" applyFont="1" applyAlignment="1">
      <alignment horizontal="center"/>
    </xf>
    <xf numFmtId="182" fontId="3" fillId="0" borderId="0" xfId="0" applyNumberFormat="1" applyFont="1" applyAlignment="1">
      <alignment horizontal="center" vertical="top"/>
    </xf>
    <xf numFmtId="1" fontId="49" fillId="0" borderId="0" xfId="0" applyNumberFormat="1" applyFont="1" applyAlignment="1">
      <alignment vertical="center"/>
    </xf>
    <xf numFmtId="1" fontId="129" fillId="0" borderId="0" xfId="0" applyNumberFormat="1" applyFont="1" applyAlignment="1">
      <alignment horizontal="left" vertical="center"/>
    </xf>
    <xf numFmtId="2" fontId="52" fillId="6" borderId="132" xfId="0" applyNumberFormat="1" applyFont="1" applyFill="1" applyBorder="1" applyAlignment="1">
      <alignment horizontal="center" vertical="center"/>
    </xf>
    <xf numFmtId="171" fontId="101" fillId="6" borderId="69" xfId="0" applyNumberFormat="1" applyFont="1" applyFill="1" applyBorder="1" applyAlignment="1">
      <alignment horizontal="center" vertical="center"/>
    </xf>
    <xf numFmtId="4" fontId="32" fillId="6" borderId="127" xfId="0" applyNumberFormat="1" applyFont="1" applyFill="1" applyBorder="1" applyAlignment="1">
      <alignment horizontal="left" vertical="center"/>
    </xf>
    <xf numFmtId="4" fontId="59" fillId="6" borderId="127" xfId="0" applyNumberFormat="1" applyFont="1" applyFill="1" applyBorder="1" applyAlignment="1">
      <alignment horizontal="center" vertical="center"/>
    </xf>
    <xf numFmtId="4" fontId="59" fillId="6" borderId="70" xfId="0" applyNumberFormat="1" applyFont="1" applyFill="1" applyBorder="1" applyAlignment="1">
      <alignment horizontal="center" vertical="center"/>
    </xf>
    <xf numFmtId="166" fontId="102" fillId="6" borderId="134" xfId="0" applyNumberFormat="1" applyFont="1" applyFill="1" applyBorder="1" applyAlignment="1">
      <alignment horizontal="right" vertical="center"/>
    </xf>
    <xf numFmtId="4" fontId="49" fillId="0" borderId="136" xfId="0" applyNumberFormat="1" applyFont="1" applyBorder="1" applyAlignment="1">
      <alignment vertical="center"/>
    </xf>
    <xf numFmtId="175" fontId="76" fillId="6" borderId="137" xfId="0" applyNumberFormat="1" applyFont="1" applyFill="1" applyBorder="1" applyAlignment="1">
      <alignment horizontal="right" vertical="center"/>
    </xf>
    <xf numFmtId="175" fontId="76" fillId="15" borderId="126" xfId="0" applyNumberFormat="1" applyFont="1" applyFill="1" applyBorder="1" applyAlignment="1" applyProtection="1">
      <alignment horizontal="right" vertical="center"/>
      <protection locked="0"/>
    </xf>
    <xf numFmtId="168" fontId="49" fillId="0" borderId="127" xfId="0" applyNumberFormat="1" applyFont="1" applyBorder="1" applyAlignment="1">
      <alignment vertical="center"/>
    </xf>
    <xf numFmtId="164" fontId="88" fillId="16" borderId="138" xfId="0" applyFont="1" applyFill="1" applyBorder="1" applyAlignment="1">
      <alignment vertical="center"/>
    </xf>
    <xf numFmtId="164" fontId="42" fillId="8" borderId="124" xfId="2" applyNumberFormat="1" applyFont="1" applyFill="1" applyBorder="1" applyAlignment="1" applyProtection="1">
      <alignment horizontal="center" vertical="center"/>
    </xf>
    <xf numFmtId="164" fontId="15" fillId="12" borderId="124" xfId="2" applyNumberFormat="1" applyFont="1" applyFill="1" applyBorder="1" applyAlignment="1" applyProtection="1">
      <alignment horizontal="center" vertical="center"/>
    </xf>
    <xf numFmtId="192" fontId="148" fillId="14" borderId="0" xfId="0" applyNumberFormat="1" applyFont="1" applyFill="1" applyAlignment="1">
      <alignment horizontal="right" vertical="center"/>
    </xf>
    <xf numFmtId="173" fontId="148" fillId="14" borderId="0" xfId="0" applyNumberFormat="1" applyFont="1" applyFill="1" applyAlignment="1">
      <alignment horizontal="right" vertical="center"/>
    </xf>
    <xf numFmtId="174" fontId="147" fillId="0" borderId="94" xfId="0" applyNumberFormat="1" applyFont="1" applyBorder="1" applyAlignment="1">
      <alignment horizontal="center" vertical="center"/>
    </xf>
    <xf numFmtId="173" fontId="53" fillId="14" borderId="0" xfId="6" applyNumberFormat="1" applyFont="1" applyFill="1" applyBorder="1" applyAlignment="1" applyProtection="1">
      <alignment horizontal="center" vertical="center"/>
      <protection locked="0"/>
    </xf>
    <xf numFmtId="173" fontId="53" fillId="14" borderId="0" xfId="0" applyNumberFormat="1" applyFont="1" applyFill="1" applyAlignment="1">
      <alignment vertical="center"/>
    </xf>
    <xf numFmtId="173" fontId="53" fillId="14" borderId="0" xfId="0" applyNumberFormat="1" applyFont="1" applyFill="1" applyAlignment="1">
      <alignment horizontal="right" vertical="center"/>
    </xf>
    <xf numFmtId="198" fontId="83" fillId="0" borderId="139" xfId="6" quotePrefix="1" applyNumberFormat="1" applyFont="1" applyBorder="1" applyAlignment="1" applyProtection="1">
      <alignment horizontal="left" vertical="center"/>
    </xf>
    <xf numFmtId="199" fontId="93" fillId="0" borderId="139" xfId="6" quotePrefix="1" applyNumberFormat="1" applyFont="1" applyBorder="1" applyAlignment="1" applyProtection="1">
      <alignment horizontal="left" vertical="center"/>
    </xf>
    <xf numFmtId="174" fontId="147" fillId="24" borderId="92" xfId="6" quotePrefix="1" applyNumberFormat="1" applyFont="1" applyFill="1" applyBorder="1" applyAlignment="1" applyProtection="1">
      <alignment horizontal="center" vertical="center"/>
      <protection locked="0"/>
    </xf>
    <xf numFmtId="174" fontId="113" fillId="22" borderId="92" xfId="6" quotePrefix="1" applyNumberFormat="1" applyFont="1" applyFill="1" applyBorder="1" applyAlignment="1" applyProtection="1">
      <alignment horizontal="center" vertical="center"/>
      <protection locked="0"/>
    </xf>
    <xf numFmtId="174" fontId="123" fillId="0" borderId="94" xfId="0" applyNumberFormat="1" applyFont="1" applyBorder="1" applyAlignment="1">
      <alignment horizontal="center" vertical="center"/>
    </xf>
    <xf numFmtId="174" fontId="14" fillId="0" borderId="140" xfId="0" applyNumberFormat="1" applyFont="1" applyBorder="1" applyAlignment="1">
      <alignment horizontal="center" vertical="center"/>
    </xf>
    <xf numFmtId="197" fontId="14" fillId="0" borderId="139" xfId="6" quotePrefix="1" applyNumberFormat="1" applyFont="1" applyBorder="1" applyAlignment="1" applyProtection="1">
      <alignment horizontal="left" vertical="center"/>
    </xf>
    <xf numFmtId="164" fontId="147" fillId="0" borderId="98" xfId="0" applyFont="1" applyBorder="1" applyAlignment="1">
      <alignment horizontal="left" vertical="center"/>
    </xf>
    <xf numFmtId="164" fontId="147" fillId="0" borderId="99" xfId="0" applyFont="1" applyBorder="1" applyAlignment="1">
      <alignment horizontal="left" vertical="center"/>
    </xf>
    <xf numFmtId="174" fontId="21" fillId="0" borderId="0" xfId="0" applyNumberFormat="1" applyFont="1" applyAlignment="1">
      <alignment horizontal="left" vertical="center"/>
    </xf>
    <xf numFmtId="175" fontId="21" fillId="0" borderId="0" xfId="0" applyNumberFormat="1" applyFont="1" applyAlignment="1">
      <alignment horizontal="left" vertical="center"/>
    </xf>
    <xf numFmtId="3" fontId="49" fillId="0" borderId="0" xfId="0" applyNumberFormat="1" applyFont="1" applyAlignment="1">
      <alignment horizontal="right" vertical="center"/>
    </xf>
    <xf numFmtId="174" fontId="113" fillId="0" borderId="94" xfId="0" applyNumberFormat="1" applyFont="1" applyBorder="1" applyAlignment="1">
      <alignment horizontal="center" vertical="center"/>
    </xf>
    <xf numFmtId="176" fontId="117" fillId="27" borderId="13" xfId="0" applyNumberFormat="1" applyFont="1" applyFill="1" applyBorder="1" applyAlignment="1">
      <alignment horizontal="center" vertical="center"/>
    </xf>
    <xf numFmtId="1" fontId="156" fillId="0" borderId="0" xfId="0" applyNumberFormat="1" applyFont="1" applyAlignment="1">
      <alignment vertical="center"/>
    </xf>
    <xf numFmtId="1" fontId="18" fillId="0" borderId="76" xfId="2" quotePrefix="1" applyNumberFormat="1" applyFont="1" applyFill="1" applyBorder="1" applyAlignment="1" applyProtection="1">
      <alignment horizontal="center" vertical="center"/>
      <protection locked="0"/>
    </xf>
    <xf numFmtId="164" fontId="157" fillId="0" borderId="0" xfId="0" quotePrefix="1" applyFont="1" applyAlignment="1">
      <alignment horizontal="right" vertical="top"/>
    </xf>
    <xf numFmtId="175" fontId="18" fillId="6" borderId="75" xfId="0" applyNumberFormat="1" applyFont="1" applyFill="1" applyBorder="1" applyAlignment="1" applyProtection="1">
      <alignment horizontal="center" vertical="center"/>
      <protection locked="0"/>
    </xf>
    <xf numFmtId="4" fontId="18" fillId="6" borderId="79" xfId="2" applyNumberFormat="1" applyFont="1" applyFill="1" applyBorder="1" applyAlignment="1" applyProtection="1">
      <alignment vertical="center"/>
      <protection locked="0"/>
    </xf>
    <xf numFmtId="3" fontId="159" fillId="14" borderId="111" xfId="0" applyNumberFormat="1" applyFont="1" applyFill="1" applyBorder="1" applyAlignment="1">
      <alignment vertical="center"/>
    </xf>
    <xf numFmtId="174" fontId="14" fillId="14" borderId="92" xfId="6" quotePrefix="1" applyNumberFormat="1" applyFont="1" applyFill="1" applyBorder="1" applyAlignment="1" applyProtection="1">
      <alignment horizontal="center" vertical="center"/>
      <protection locked="0"/>
    </xf>
    <xf numFmtId="170" fontId="18" fillId="14" borderId="151" xfId="0" applyNumberFormat="1" applyFont="1" applyFill="1" applyBorder="1" applyAlignment="1">
      <alignment horizontal="center" vertical="center"/>
    </xf>
    <xf numFmtId="164" fontId="145" fillId="28" borderId="154" xfId="0" applyFont="1" applyFill="1" applyBorder="1" applyAlignment="1">
      <alignment horizontal="center" vertical="center"/>
    </xf>
    <xf numFmtId="169" fontId="18" fillId="14" borderId="105" xfId="0" applyNumberFormat="1" applyFont="1" applyFill="1" applyBorder="1" applyAlignment="1" applyProtection="1">
      <alignment horizontal="center" vertical="center"/>
      <protection locked="0"/>
    </xf>
    <xf numFmtId="0" fontId="80" fillId="14" borderId="75" xfId="0" applyNumberFormat="1" applyFont="1" applyFill="1" applyBorder="1" applyAlignment="1" applyProtection="1">
      <alignment horizontal="right" vertical="center"/>
      <protection locked="0"/>
    </xf>
    <xf numFmtId="1" fontId="18" fillId="14" borderId="76" xfId="2" quotePrefix="1" applyNumberFormat="1" applyFont="1" applyFill="1" applyBorder="1" applyAlignment="1" applyProtection="1">
      <alignment horizontal="center" vertical="center"/>
      <protection locked="0"/>
    </xf>
    <xf numFmtId="166" fontId="78" fillId="14" borderId="78" xfId="0" applyNumberFormat="1" applyFont="1" applyFill="1" applyBorder="1" applyAlignment="1" applyProtection="1">
      <alignment vertical="center"/>
      <protection locked="0"/>
    </xf>
    <xf numFmtId="175" fontId="18" fillId="14" borderId="75" xfId="0" applyNumberFormat="1" applyFont="1" applyFill="1" applyBorder="1" applyAlignment="1" applyProtection="1">
      <alignment horizontal="center" vertical="center"/>
      <protection locked="0"/>
    </xf>
    <xf numFmtId="4" fontId="18" fillId="14" borderId="79" xfId="2" applyNumberFormat="1" applyFont="1" applyFill="1" applyBorder="1" applyAlignment="1" applyProtection="1">
      <alignment vertical="center"/>
      <protection locked="0"/>
    </xf>
    <xf numFmtId="166" fontId="78" fillId="14" borderId="74" xfId="0" applyNumberFormat="1" applyFont="1" applyFill="1" applyBorder="1" applyAlignment="1" applyProtection="1">
      <alignment vertical="center"/>
      <protection locked="0"/>
    </xf>
    <xf numFmtId="0" fontId="80" fillId="14" borderId="75" xfId="0" quotePrefix="1" applyNumberFormat="1" applyFont="1" applyFill="1" applyBorder="1" applyAlignment="1" applyProtection="1">
      <alignment horizontal="right" vertical="center"/>
      <protection locked="0"/>
    </xf>
    <xf numFmtId="169" fontId="18" fillId="6" borderId="105" xfId="0" applyNumberFormat="1" applyFont="1" applyFill="1" applyBorder="1" applyAlignment="1" applyProtection="1">
      <alignment horizontal="center" vertical="center"/>
      <protection locked="0"/>
    </xf>
    <xf numFmtId="0" fontId="80" fillId="0" borderId="157" xfId="0" quotePrefix="1" applyNumberFormat="1" applyFont="1" applyBorder="1" applyAlignment="1" applyProtection="1">
      <alignment horizontal="right" vertical="center"/>
      <protection locked="0"/>
    </xf>
    <xf numFmtId="164" fontId="26" fillId="7" borderId="0" xfId="0" applyFont="1" applyFill="1" applyAlignment="1">
      <alignment vertical="center"/>
    </xf>
    <xf numFmtId="164" fontId="15" fillId="7" borderId="0" xfId="2" applyNumberFormat="1" applyFont="1" applyFill="1" applyBorder="1" applyAlignment="1" applyProtection="1">
      <alignment horizontal="center" vertical="center"/>
    </xf>
    <xf numFmtId="174" fontId="21" fillId="7" borderId="0" xfId="0" applyNumberFormat="1" applyFont="1" applyFill="1" applyAlignment="1">
      <alignment horizontal="left" vertical="center"/>
    </xf>
    <xf numFmtId="164" fontId="88" fillId="7" borderId="0" xfId="0" applyFont="1" applyFill="1" applyAlignment="1">
      <alignment vertical="center"/>
    </xf>
    <xf numFmtId="1" fontId="3" fillId="7" borderId="0" xfId="0" applyNumberFormat="1" applyFont="1" applyFill="1" applyAlignment="1">
      <alignment vertical="center"/>
    </xf>
    <xf numFmtId="203" fontId="158" fillId="0" borderId="0" xfId="2" applyNumberFormat="1" applyFont="1" applyFill="1" applyBorder="1" applyAlignment="1" applyProtection="1">
      <alignment vertical="center"/>
    </xf>
    <xf numFmtId="204" fontId="158" fillId="0" borderId="0" xfId="0" applyNumberFormat="1" applyFont="1" applyAlignment="1">
      <alignment vertical="center"/>
    </xf>
    <xf numFmtId="4" fontId="19" fillId="10" borderId="124" xfId="2" applyNumberFormat="1" applyFont="1" applyFill="1" applyBorder="1" applyAlignment="1" applyProtection="1">
      <alignment horizontal="center" vertical="center"/>
    </xf>
    <xf numFmtId="4" fontId="150" fillId="15" borderId="110" xfId="0" applyNumberFormat="1" applyFont="1" applyFill="1" applyBorder="1" applyAlignment="1">
      <alignment vertical="center"/>
    </xf>
    <xf numFmtId="4" fontId="150" fillId="0" borderId="128" xfId="0" applyNumberFormat="1" applyFont="1" applyBorder="1" applyAlignment="1">
      <alignment vertical="center"/>
    </xf>
    <xf numFmtId="4" fontId="151" fillId="0" borderId="125" xfId="0" applyNumberFormat="1" applyFont="1" applyBorder="1" applyAlignment="1">
      <alignment vertical="center"/>
    </xf>
    <xf numFmtId="4" fontId="150" fillId="0" borderId="145" xfId="0" applyNumberFormat="1" applyFont="1" applyBorder="1" applyAlignment="1">
      <alignment vertical="center"/>
    </xf>
    <xf numFmtId="4" fontId="151" fillId="0" borderId="139" xfId="0" applyNumberFormat="1" applyFont="1" applyBorder="1" applyAlignment="1">
      <alignment vertical="center"/>
    </xf>
    <xf numFmtId="4" fontId="149" fillId="10" borderId="110" xfId="0" applyNumberFormat="1" applyFont="1" applyFill="1" applyBorder="1" applyAlignment="1">
      <alignment vertical="center"/>
    </xf>
    <xf numFmtId="164" fontId="160" fillId="7" borderId="0" xfId="0" applyFont="1" applyFill="1" applyAlignment="1">
      <alignment vertical="center"/>
    </xf>
    <xf numFmtId="3" fontId="21" fillId="0" borderId="0" xfId="0" applyNumberFormat="1" applyFont="1" applyAlignment="1">
      <alignment horizontal="left" vertical="center"/>
    </xf>
    <xf numFmtId="4" fontId="18" fillId="0" borderId="74" xfId="0" applyNumberFormat="1" applyFont="1" applyBorder="1" applyAlignment="1" applyProtection="1">
      <alignment vertical="center"/>
      <protection locked="0"/>
    </xf>
    <xf numFmtId="4" fontId="18" fillId="14" borderId="74" xfId="0" applyNumberFormat="1" applyFont="1" applyFill="1" applyBorder="1" applyAlignment="1" applyProtection="1">
      <alignment vertical="center"/>
      <protection locked="0"/>
    </xf>
    <xf numFmtId="4" fontId="42" fillId="0" borderId="10" xfId="2" applyNumberFormat="1" applyFont="1" applyFill="1" applyBorder="1" applyAlignment="1" applyProtection="1">
      <alignment vertical="center"/>
    </xf>
    <xf numFmtId="4" fontId="106" fillId="0" borderId="10" xfId="2" applyNumberFormat="1" applyFill="1" applyBorder="1" applyAlignment="1" applyProtection="1">
      <alignment vertical="center"/>
    </xf>
    <xf numFmtId="4" fontId="17" fillId="0" borderId="10" xfId="2" applyNumberFormat="1" applyFont="1" applyFill="1" applyBorder="1" applyAlignment="1" applyProtection="1">
      <alignment vertical="center"/>
    </xf>
    <xf numFmtId="184" fontId="126" fillId="0" borderId="15" xfId="0" applyNumberFormat="1" applyFont="1" applyBorder="1" applyAlignment="1" applyProtection="1">
      <alignment horizontal="center" vertical="center"/>
      <protection locked="0"/>
    </xf>
    <xf numFmtId="192" fontId="46" fillId="0" borderId="85" xfId="1" applyNumberFormat="1" applyFont="1" applyFill="1" applyBorder="1" applyAlignment="1" applyProtection="1">
      <alignment horizontal="right" vertical="center"/>
    </xf>
    <xf numFmtId="192" fontId="147" fillId="0" borderId="85" xfId="1" applyNumberFormat="1" applyFont="1" applyFill="1" applyBorder="1" applyAlignment="1" applyProtection="1">
      <alignment horizontal="right" vertical="center"/>
    </xf>
    <xf numFmtId="192" fontId="123" fillId="0" borderId="85" xfId="1" applyNumberFormat="1" applyFont="1" applyFill="1" applyBorder="1" applyAlignment="1" applyProtection="1">
      <alignment horizontal="right" vertical="center"/>
    </xf>
    <xf numFmtId="192" fontId="113" fillId="0" borderId="85" xfId="1" applyNumberFormat="1" applyFont="1" applyFill="1" applyBorder="1" applyAlignment="1" applyProtection="1">
      <alignment horizontal="right" vertical="center"/>
    </xf>
    <xf numFmtId="164" fontId="145" fillId="28" borderId="158" xfId="0" applyFont="1" applyFill="1" applyBorder="1" applyAlignment="1">
      <alignment horizontal="center" vertical="center"/>
    </xf>
    <xf numFmtId="1" fontId="18" fillId="6" borderId="159" xfId="2" quotePrefix="1" applyNumberFormat="1" applyFont="1" applyFill="1" applyBorder="1" applyAlignment="1" applyProtection="1">
      <alignment horizontal="center" vertical="center"/>
      <protection locked="0"/>
    </xf>
    <xf numFmtId="170" fontId="18" fillId="6" borderId="151" xfId="0" applyNumberFormat="1" applyFont="1" applyFill="1" applyBorder="1" applyAlignment="1">
      <alignment horizontal="center" vertical="center"/>
    </xf>
    <xf numFmtId="166" fontId="165" fillId="6" borderId="49" xfId="0" applyNumberFormat="1" applyFont="1" applyFill="1" applyBorder="1" applyAlignment="1">
      <alignment horizontal="center" vertical="center"/>
    </xf>
    <xf numFmtId="166" fontId="24" fillId="6" borderId="49" xfId="0" applyNumberFormat="1" applyFont="1" applyFill="1" applyBorder="1" applyAlignment="1">
      <alignment horizontal="center" vertical="center"/>
    </xf>
    <xf numFmtId="166" fontId="166" fillId="6" borderId="49" xfId="0" applyNumberFormat="1" applyFont="1" applyFill="1" applyBorder="1" applyAlignment="1">
      <alignment horizontal="center" vertical="center"/>
    </xf>
    <xf numFmtId="166" fontId="30" fillId="6" borderId="49" xfId="0" applyNumberFormat="1" applyFont="1" applyFill="1" applyBorder="1" applyAlignment="1">
      <alignment horizontal="center" vertical="center"/>
    </xf>
    <xf numFmtId="1" fontId="18" fillId="14" borderId="159" xfId="2" quotePrefix="1" applyNumberFormat="1" applyFont="1" applyFill="1" applyBorder="1" applyAlignment="1" applyProtection="1">
      <alignment horizontal="center" vertical="center"/>
      <protection locked="0"/>
    </xf>
    <xf numFmtId="166" fontId="18" fillId="14" borderId="77" xfId="2" applyNumberFormat="1" applyFont="1" applyFill="1" applyBorder="1" applyAlignment="1" applyProtection="1">
      <alignment horizontal="center" vertical="center"/>
      <protection locked="0"/>
    </xf>
    <xf numFmtId="4" fontId="62" fillId="14" borderId="78" xfId="0" applyNumberFormat="1" applyFont="1" applyFill="1" applyBorder="1" applyAlignment="1" applyProtection="1">
      <alignment vertical="center"/>
      <protection locked="0"/>
    </xf>
    <xf numFmtId="4" fontId="126" fillId="29" borderId="74" xfId="0" applyNumberFormat="1" applyFont="1" applyFill="1" applyBorder="1" applyAlignment="1" applyProtection="1">
      <alignment vertical="center"/>
      <protection locked="0"/>
    </xf>
    <xf numFmtId="166" fontId="126" fillId="29" borderId="74" xfId="0" applyNumberFormat="1" applyFont="1" applyFill="1" applyBorder="1" applyAlignment="1" applyProtection="1">
      <alignment vertical="center"/>
      <protection locked="0"/>
    </xf>
    <xf numFmtId="4" fontId="106" fillId="25" borderId="74" xfId="0" applyNumberFormat="1" applyFont="1" applyFill="1" applyBorder="1" applyAlignment="1" applyProtection="1">
      <alignment vertical="center"/>
      <protection locked="0"/>
    </xf>
    <xf numFmtId="4" fontId="80" fillId="14" borderId="75" xfId="0" applyNumberFormat="1" applyFont="1" applyFill="1" applyBorder="1" applyAlignment="1" applyProtection="1">
      <alignment horizontal="right" vertical="center"/>
      <protection locked="0"/>
    </xf>
    <xf numFmtId="164" fontId="145" fillId="28" borderId="160" xfId="0" applyFont="1" applyFill="1" applyBorder="1" applyAlignment="1">
      <alignment horizontal="center" vertical="center"/>
    </xf>
    <xf numFmtId="1" fontId="18" fillId="6" borderId="76" xfId="2" quotePrefix="1" applyNumberFormat="1" applyFont="1" applyFill="1" applyBorder="1" applyAlignment="1" applyProtection="1">
      <alignment horizontal="center" vertical="center"/>
      <protection locked="0"/>
    </xf>
    <xf numFmtId="166" fontId="126" fillId="6" borderId="74" xfId="0" applyNumberFormat="1" applyFont="1" applyFill="1" applyBorder="1" applyAlignment="1" applyProtection="1">
      <alignment vertical="center"/>
      <protection locked="0"/>
    </xf>
    <xf numFmtId="165" fontId="18" fillId="14" borderId="153" xfId="0" applyNumberFormat="1" applyFont="1" applyFill="1" applyBorder="1" applyAlignment="1">
      <alignment vertical="center"/>
    </xf>
    <xf numFmtId="0" fontId="80" fillId="14" borderId="152" xfId="0" quotePrefix="1" applyNumberFormat="1" applyFont="1" applyFill="1" applyBorder="1" applyAlignment="1">
      <alignment horizontal="right" vertical="center"/>
    </xf>
    <xf numFmtId="166" fontId="18" fillId="14" borderId="156" xfId="2" applyNumberFormat="1" applyFont="1" applyFill="1" applyBorder="1" applyAlignment="1" applyProtection="1">
      <alignment horizontal="center" vertical="center"/>
    </xf>
    <xf numFmtId="166" fontId="18" fillId="14" borderId="155" xfId="0" applyNumberFormat="1" applyFont="1" applyFill="1" applyBorder="1" applyAlignment="1" applyProtection="1">
      <alignment vertical="center"/>
      <protection locked="0"/>
    </xf>
    <xf numFmtId="4" fontId="18" fillId="0" borderId="83" xfId="2" quotePrefix="1" applyNumberFormat="1" applyFont="1" applyFill="1" applyBorder="1" applyAlignment="1" applyProtection="1">
      <alignment horizontal="center" vertical="center"/>
      <protection locked="0"/>
    </xf>
    <xf numFmtId="4" fontId="42" fillId="0" borderId="18" xfId="0" applyNumberFormat="1" applyFont="1" applyBorder="1" applyAlignment="1">
      <alignment vertical="center"/>
    </xf>
    <xf numFmtId="4" fontId="89" fillId="0" borderId="0" xfId="0" applyNumberFormat="1" applyFont="1" applyAlignment="1">
      <alignment vertical="center"/>
    </xf>
    <xf numFmtId="176" fontId="48" fillId="16" borderId="13" xfId="0" applyNumberFormat="1" applyFont="1" applyFill="1" applyBorder="1" applyAlignment="1">
      <alignment horizontal="center" vertical="center"/>
    </xf>
    <xf numFmtId="176" fontId="127" fillId="29" borderId="13" xfId="0" applyNumberFormat="1" applyFont="1" applyFill="1" applyBorder="1" applyAlignment="1">
      <alignment horizontal="center" vertical="center"/>
    </xf>
    <xf numFmtId="176" fontId="124" fillId="19" borderId="13" xfId="0" applyNumberFormat="1" applyFont="1" applyFill="1" applyBorder="1" applyAlignment="1">
      <alignment horizontal="center" vertical="center"/>
    </xf>
    <xf numFmtId="176" fontId="13" fillId="18" borderId="13" xfId="0" applyNumberFormat="1" applyFont="1" applyFill="1" applyBorder="1" applyAlignment="1">
      <alignment horizontal="center" vertical="center"/>
    </xf>
    <xf numFmtId="181" fontId="169" fillId="15" borderId="80" xfId="0" applyNumberFormat="1" applyFont="1" applyFill="1" applyBorder="1" applyAlignment="1" applyProtection="1">
      <alignment vertical="center"/>
      <protection locked="0"/>
    </xf>
    <xf numFmtId="166" fontId="15" fillId="5" borderId="124" xfId="2" applyNumberFormat="1" applyFont="1" applyFill="1" applyBorder="1" applyAlignment="1" applyProtection="1">
      <alignment horizontal="center" vertical="center"/>
    </xf>
    <xf numFmtId="4" fontId="18" fillId="14" borderId="110" xfId="0" applyNumberFormat="1" applyFont="1" applyFill="1" applyBorder="1" applyAlignment="1">
      <alignment vertical="center"/>
    </xf>
    <xf numFmtId="4" fontId="18" fillId="0" borderId="128" xfId="0" applyNumberFormat="1" applyFont="1" applyBorder="1" applyAlignment="1">
      <alignment vertical="center"/>
    </xf>
    <xf numFmtId="4" fontId="85" fillId="0" borderId="125" xfId="0" applyNumberFormat="1" applyFont="1" applyBorder="1" applyAlignment="1">
      <alignment vertical="center"/>
    </xf>
    <xf numFmtId="4" fontId="85" fillId="0" borderId="139" xfId="0" applyNumberFormat="1" applyFont="1" applyBorder="1" applyAlignment="1">
      <alignment vertical="center"/>
    </xf>
    <xf numFmtId="4" fontId="18" fillId="0" borderId="145" xfId="0" applyNumberFormat="1" applyFont="1" applyBorder="1" applyAlignment="1">
      <alignment vertical="center"/>
    </xf>
    <xf numFmtId="164" fontId="21" fillId="23" borderId="167" xfId="0" applyFont="1" applyFill="1" applyBorder="1" applyAlignment="1">
      <alignment vertical="center"/>
    </xf>
    <xf numFmtId="164" fontId="21" fillId="23" borderId="168" xfId="0" applyFont="1" applyFill="1" applyBorder="1" applyAlignment="1">
      <alignment vertical="center"/>
    </xf>
    <xf numFmtId="164" fontId="21" fillId="23" borderId="65" xfId="0" applyFont="1" applyFill="1" applyBorder="1" applyAlignment="1">
      <alignment vertical="center"/>
    </xf>
    <xf numFmtId="164" fontId="21" fillId="23" borderId="67" xfId="0" applyFont="1" applyFill="1" applyBorder="1" applyAlignment="1">
      <alignment vertical="center"/>
    </xf>
    <xf numFmtId="192" fontId="14" fillId="0" borderId="85" xfId="1" applyNumberFormat="1" applyFont="1" applyFill="1" applyBorder="1" applyAlignment="1" applyProtection="1">
      <alignment horizontal="right" vertical="center"/>
    </xf>
    <xf numFmtId="165" fontId="60" fillId="6" borderId="96" xfId="0" applyNumberFormat="1" applyFont="1" applyFill="1" applyBorder="1" applyAlignment="1">
      <alignment horizontal="center" vertical="center"/>
    </xf>
    <xf numFmtId="165" fontId="60" fillId="6" borderId="172" xfId="0" applyNumberFormat="1" applyFont="1" applyFill="1" applyBorder="1" applyAlignment="1">
      <alignment horizontal="center" vertical="center"/>
    </xf>
    <xf numFmtId="1" fontId="31" fillId="14" borderId="173" xfId="2" quotePrefix="1" applyNumberFormat="1" applyFont="1" applyFill="1" applyBorder="1" applyAlignment="1" applyProtection="1">
      <alignment horizontal="center" vertical="center"/>
    </xf>
    <xf numFmtId="4" fontId="89" fillId="0" borderId="0" xfId="0" applyNumberFormat="1" applyFont="1" applyAlignment="1">
      <alignment horizontal="right" vertical="center"/>
    </xf>
    <xf numFmtId="173" fontId="175" fillId="14" borderId="0" xfId="0" applyNumberFormat="1" applyFont="1" applyFill="1" applyAlignment="1">
      <alignment horizontal="right" vertical="center"/>
    </xf>
    <xf numFmtId="8" fontId="175" fillId="14" borderId="0" xfId="0" applyNumberFormat="1" applyFont="1" applyFill="1" applyAlignment="1">
      <alignment horizontal="right" vertical="center"/>
    </xf>
    <xf numFmtId="166" fontId="7" fillId="14" borderId="150" xfId="0" applyNumberFormat="1" applyFont="1" applyFill="1" applyBorder="1" applyAlignment="1">
      <alignment vertical="center"/>
    </xf>
    <xf numFmtId="164" fontId="147" fillId="0" borderId="179" xfId="0" applyFont="1" applyBorder="1" applyAlignment="1">
      <alignment horizontal="left" vertical="center"/>
    </xf>
    <xf numFmtId="197" fontId="14" fillId="0" borderId="179" xfId="6" quotePrefix="1" applyNumberFormat="1" applyFont="1" applyBorder="1" applyAlignment="1" applyProtection="1">
      <alignment horizontal="left" vertical="center"/>
    </xf>
    <xf numFmtId="164" fontId="4" fillId="14" borderId="181" xfId="0" applyFont="1" applyFill="1" applyBorder="1" applyAlignment="1">
      <alignment vertical="center"/>
    </xf>
    <xf numFmtId="4" fontId="96" fillId="23" borderId="166" xfId="0" applyNumberFormat="1" applyFont="1" applyFill="1" applyBorder="1" applyAlignment="1">
      <alignment vertical="center"/>
    </xf>
    <xf numFmtId="4" fontId="96" fillId="23" borderId="30" xfId="0" applyNumberFormat="1" applyFont="1" applyFill="1" applyBorder="1" applyAlignment="1">
      <alignment vertical="center"/>
    </xf>
    <xf numFmtId="164" fontId="178" fillId="23" borderId="167" xfId="0" applyFont="1" applyFill="1" applyBorder="1" applyAlignment="1">
      <alignment vertical="center"/>
    </xf>
    <xf numFmtId="165" fontId="60" fillId="6" borderId="183" xfId="0" applyNumberFormat="1" applyFont="1" applyFill="1" applyBorder="1" applyAlignment="1">
      <alignment horizontal="center" vertical="center"/>
    </xf>
    <xf numFmtId="166" fontId="171" fillId="14" borderId="88" xfId="0" applyNumberFormat="1" applyFont="1" applyFill="1" applyBorder="1" applyAlignment="1">
      <alignment vertical="center"/>
    </xf>
    <xf numFmtId="166" fontId="171" fillId="14" borderId="104" xfId="0" applyNumberFormat="1" applyFont="1" applyFill="1" applyBorder="1" applyAlignment="1">
      <alignment vertical="center"/>
    </xf>
    <xf numFmtId="174" fontId="20" fillId="14" borderId="5" xfId="0" applyNumberFormat="1" applyFont="1" applyFill="1" applyBorder="1" applyAlignment="1">
      <alignment vertical="center"/>
    </xf>
    <xf numFmtId="0" fontId="179" fillId="14" borderId="5" xfId="0" applyNumberFormat="1" applyFont="1" applyFill="1" applyBorder="1" applyAlignment="1">
      <alignment horizontal="center" vertical="center"/>
    </xf>
    <xf numFmtId="164" fontId="20" fillId="14" borderId="5" xfId="0" applyFont="1" applyFill="1" applyBorder="1" applyAlignment="1">
      <alignment horizontal="center" vertical="center"/>
    </xf>
    <xf numFmtId="174" fontId="20" fillId="14" borderId="91" xfId="0" applyNumberFormat="1" applyFont="1" applyFill="1" applyBorder="1" applyAlignment="1">
      <alignment vertical="center"/>
    </xf>
    <xf numFmtId="164" fontId="20" fillId="7" borderId="114" xfId="0" applyFont="1" applyFill="1" applyBorder="1" applyAlignment="1">
      <alignment vertical="center"/>
    </xf>
    <xf numFmtId="166" fontId="180" fillId="0" borderId="0" xfId="0" applyNumberFormat="1" applyFont="1" applyAlignment="1" applyProtection="1">
      <alignment horizontal="center" vertical="center"/>
      <protection locked="0"/>
    </xf>
    <xf numFmtId="169" fontId="15" fillId="0" borderId="0" xfId="0" applyNumberFormat="1" applyFont="1" applyAlignment="1">
      <alignment horizontal="left" vertical="center"/>
    </xf>
    <xf numFmtId="169" fontId="15" fillId="0" borderId="0" xfId="0" applyNumberFormat="1" applyFont="1" applyAlignment="1">
      <alignment horizontal="right" vertical="center"/>
    </xf>
    <xf numFmtId="7" fontId="15" fillId="0" borderId="0" xfId="8" applyNumberFormat="1" applyFont="1" applyFill="1" applyBorder="1" applyAlignment="1" applyProtection="1">
      <alignment vertical="center"/>
    </xf>
    <xf numFmtId="8" fontId="19" fillId="14" borderId="196" xfId="8" applyNumberFormat="1" applyFont="1" applyFill="1" applyBorder="1" applyAlignment="1" applyProtection="1">
      <alignment vertical="center"/>
    </xf>
    <xf numFmtId="165" fontId="19" fillId="14" borderId="197" xfId="0" applyNumberFormat="1" applyFont="1" applyFill="1" applyBorder="1" applyAlignment="1">
      <alignment horizontal="right" vertical="center"/>
    </xf>
    <xf numFmtId="164" fontId="156" fillId="0" borderId="0" xfId="0" applyFont="1" applyAlignment="1">
      <alignment horizontal="center" vertical="center"/>
    </xf>
    <xf numFmtId="179" fontId="49" fillId="0" borderId="68" xfId="0" applyNumberFormat="1" applyFont="1" applyBorder="1" applyAlignment="1">
      <alignment horizontal="center" vertical="center"/>
    </xf>
    <xf numFmtId="166" fontId="140" fillId="14" borderId="86" xfId="0" applyNumberFormat="1" applyFont="1" applyFill="1" applyBorder="1" applyAlignment="1">
      <alignment horizontal="center" vertical="center"/>
    </xf>
    <xf numFmtId="164" fontId="135" fillId="14" borderId="18" xfId="0" applyFont="1" applyFill="1" applyBorder="1" applyAlignment="1">
      <alignment horizontal="center" vertical="center"/>
    </xf>
    <xf numFmtId="164" fontId="135" fillId="14" borderId="89" xfId="0" applyFont="1" applyFill="1" applyBorder="1" applyAlignment="1">
      <alignment horizontal="center" vertical="center"/>
    </xf>
    <xf numFmtId="164" fontId="15" fillId="7" borderId="114" xfId="0" applyFont="1" applyFill="1" applyBorder="1" applyAlignment="1">
      <alignment horizontal="center" vertical="center"/>
    </xf>
    <xf numFmtId="166" fontId="183" fillId="14" borderId="113" xfId="0" applyNumberFormat="1" applyFont="1" applyFill="1" applyBorder="1" applyAlignment="1">
      <alignment horizontal="center" vertical="center"/>
    </xf>
    <xf numFmtId="164" fontId="183" fillId="14" borderId="18" xfId="0" applyFont="1" applyFill="1" applyBorder="1" applyAlignment="1">
      <alignment horizontal="center" vertical="center"/>
    </xf>
    <xf numFmtId="166" fontId="15" fillId="28" borderId="202" xfId="0" applyNumberFormat="1" applyFont="1" applyFill="1" applyBorder="1" applyAlignment="1">
      <alignment vertical="center"/>
    </xf>
    <xf numFmtId="166" fontId="19" fillId="22" borderId="117" xfId="0" applyNumberFormat="1" applyFont="1" applyFill="1" applyBorder="1" applyAlignment="1">
      <alignment vertical="center"/>
    </xf>
    <xf numFmtId="166" fontId="19" fillId="22" borderId="118" xfId="0" applyNumberFormat="1" applyFont="1" applyFill="1" applyBorder="1" applyAlignment="1">
      <alignment vertical="center"/>
    </xf>
    <xf numFmtId="183" fontId="131" fillId="22" borderId="166" xfId="7" applyNumberFormat="1" applyFont="1" applyFill="1" applyBorder="1" applyAlignment="1" applyProtection="1">
      <alignment horizontal="right" vertical="center"/>
    </xf>
    <xf numFmtId="192" fontId="132" fillId="22" borderId="111" xfId="0" applyNumberFormat="1" applyFont="1" applyFill="1" applyBorder="1" applyAlignment="1">
      <alignment horizontal="right" vertical="center"/>
    </xf>
    <xf numFmtId="0" fontId="171" fillId="14" borderId="5" xfId="0" applyNumberFormat="1" applyFont="1" applyFill="1" applyBorder="1" applyAlignment="1">
      <alignment horizontal="center" vertical="center"/>
    </xf>
    <xf numFmtId="8" fontId="114" fillId="14" borderId="0" xfId="0" applyNumberFormat="1" applyFont="1" applyFill="1" applyAlignment="1">
      <alignment horizontal="center" vertical="center"/>
    </xf>
    <xf numFmtId="0" fontId="77" fillId="14" borderId="5" xfId="0" applyNumberFormat="1" applyFont="1" applyFill="1" applyBorder="1" applyAlignment="1">
      <alignment horizontal="center" vertical="center"/>
    </xf>
    <xf numFmtId="208" fontId="31" fillId="14" borderId="0" xfId="0" applyNumberFormat="1" applyFont="1" applyFill="1" applyAlignment="1">
      <alignment horizontal="right" vertical="center"/>
    </xf>
    <xf numFmtId="164" fontId="183" fillId="14" borderId="18" xfId="0" applyFont="1" applyFill="1" applyBorder="1" applyAlignment="1">
      <alignment horizontal="center"/>
    </xf>
    <xf numFmtId="168" fontId="97" fillId="14" borderId="0" xfId="0" applyNumberFormat="1" applyFont="1" applyFill="1" applyAlignment="1">
      <alignment horizontal="right"/>
    </xf>
    <xf numFmtId="168" fontId="97" fillId="14" borderId="5" xfId="0" applyNumberFormat="1" applyFont="1" applyFill="1" applyBorder="1"/>
    <xf numFmtId="164" fontId="3" fillId="14" borderId="114" xfId="0" applyFont="1" applyFill="1" applyBorder="1" applyAlignment="1">
      <alignment vertical="center"/>
    </xf>
    <xf numFmtId="164" fontId="3" fillId="14" borderId="112" xfId="0" applyFont="1" applyFill="1" applyBorder="1" applyAlignment="1">
      <alignment vertical="center"/>
    </xf>
    <xf numFmtId="164" fontId="183" fillId="14" borderId="109" xfId="0" applyFont="1" applyFill="1" applyBorder="1" applyAlignment="1" applyProtection="1">
      <alignment horizontal="center" vertical="center"/>
      <protection locked="0"/>
    </xf>
    <xf numFmtId="166" fontId="185" fillId="6" borderId="49" xfId="0" applyNumberFormat="1" applyFont="1" applyFill="1" applyBorder="1" applyAlignment="1">
      <alignment horizontal="center" vertical="center"/>
    </xf>
    <xf numFmtId="4" fontId="146" fillId="24" borderId="74" xfId="0" applyNumberFormat="1" applyFont="1" applyFill="1" applyBorder="1" applyAlignment="1" applyProtection="1">
      <alignment vertical="center"/>
      <protection locked="0"/>
    </xf>
    <xf numFmtId="4" fontId="19" fillId="15" borderId="74" xfId="0" applyNumberFormat="1" applyFont="1" applyFill="1" applyBorder="1" applyAlignment="1" applyProtection="1">
      <alignment vertical="center"/>
      <protection locked="0"/>
    </xf>
    <xf numFmtId="166" fontId="43" fillId="6" borderId="116" xfId="0" applyNumberFormat="1" applyFont="1" applyFill="1" applyBorder="1" applyAlignment="1">
      <alignment horizontal="center" vertical="center"/>
    </xf>
    <xf numFmtId="166" fontId="15" fillId="28" borderId="205" xfId="0" applyNumberFormat="1" applyFont="1" applyFill="1" applyBorder="1" applyAlignment="1">
      <alignment vertical="center"/>
    </xf>
    <xf numFmtId="166" fontId="17" fillId="28" borderId="205" xfId="0" applyNumberFormat="1" applyFont="1" applyFill="1" applyBorder="1" applyAlignment="1" applyProtection="1">
      <alignment vertical="center"/>
      <protection locked="0"/>
    </xf>
    <xf numFmtId="166" fontId="127" fillId="0" borderId="9" xfId="0" applyNumberFormat="1" applyFont="1" applyBorder="1" applyAlignment="1">
      <alignment vertical="center"/>
    </xf>
    <xf numFmtId="4" fontId="187" fillId="0" borderId="10" xfId="2" applyNumberFormat="1" applyFont="1" applyFill="1" applyBorder="1" applyAlignment="1" applyProtection="1">
      <alignment vertical="center"/>
    </xf>
    <xf numFmtId="166" fontId="126" fillId="31" borderId="10" xfId="0" applyNumberFormat="1" applyFont="1" applyFill="1" applyBorder="1" applyAlignment="1">
      <alignment horizontal="center" vertical="center"/>
    </xf>
    <xf numFmtId="166" fontId="61" fillId="31" borderId="25" xfId="2" applyNumberFormat="1" applyFont="1" applyFill="1" applyBorder="1" applyAlignment="1" applyProtection="1">
      <alignment vertical="center"/>
    </xf>
    <xf numFmtId="4" fontId="61" fillId="31" borderId="26" xfId="2" applyNumberFormat="1" applyFont="1" applyFill="1" applyBorder="1" applyAlignment="1" applyProtection="1">
      <alignment vertical="center"/>
    </xf>
    <xf numFmtId="4" fontId="61" fillId="31" borderId="26" xfId="2" applyNumberFormat="1" applyFont="1" applyFill="1" applyBorder="1" applyAlignment="1" applyProtection="1">
      <alignment horizontal="right" vertical="center"/>
    </xf>
    <xf numFmtId="166" fontId="61" fillId="31" borderId="27" xfId="2" applyNumberFormat="1" applyFont="1" applyFill="1" applyBorder="1" applyAlignment="1" applyProtection="1">
      <alignment vertical="center"/>
    </xf>
    <xf numFmtId="166" fontId="126" fillId="31" borderId="26" xfId="2" applyNumberFormat="1" applyFont="1" applyFill="1" applyBorder="1" applyAlignment="1" applyProtection="1">
      <alignment horizontal="left" vertical="center"/>
    </xf>
    <xf numFmtId="166" fontId="15" fillId="12" borderId="25" xfId="2" applyNumberFormat="1" applyFont="1" applyFill="1" applyBorder="1" applyAlignment="1" applyProtection="1">
      <alignment vertical="center"/>
    </xf>
    <xf numFmtId="4" fontId="15" fillId="12" borderId="26" xfId="2" applyNumberFormat="1" applyFont="1" applyFill="1" applyBorder="1" applyAlignment="1" applyProtection="1">
      <alignment vertical="center"/>
    </xf>
    <xf numFmtId="166" fontId="15" fillId="12" borderId="26" xfId="2" applyNumberFormat="1" applyFont="1" applyFill="1" applyBorder="1" applyAlignment="1" applyProtection="1">
      <alignment horizontal="left" vertical="center"/>
    </xf>
    <xf numFmtId="4" fontId="15" fillId="12" borderId="26" xfId="2" applyNumberFormat="1" applyFont="1" applyFill="1" applyBorder="1" applyAlignment="1" applyProtection="1">
      <alignment horizontal="right" vertical="center"/>
    </xf>
    <xf numFmtId="166" fontId="15" fillId="12" borderId="27" xfId="2" applyNumberFormat="1" applyFont="1" applyFill="1" applyBorder="1" applyAlignment="1" applyProtection="1">
      <alignment vertical="center"/>
    </xf>
    <xf numFmtId="0" fontId="126" fillId="29" borderId="74" xfId="0" applyNumberFormat="1" applyFont="1" applyFill="1" applyBorder="1" applyAlignment="1" applyProtection="1">
      <alignment vertical="center"/>
      <protection locked="0"/>
    </xf>
    <xf numFmtId="1" fontId="189" fillId="14" borderId="0" xfId="0" applyNumberFormat="1" applyFont="1" applyFill="1" applyAlignment="1">
      <alignment horizontal="center" vertical="center"/>
    </xf>
    <xf numFmtId="1" fontId="121" fillId="26" borderId="208" xfId="0" applyNumberFormat="1" applyFont="1" applyFill="1" applyBorder="1" applyAlignment="1" applyProtection="1">
      <alignment horizontal="right" vertical="center"/>
      <protection locked="0"/>
    </xf>
    <xf numFmtId="164" fontId="190" fillId="14" borderId="5" xfId="0" applyFont="1" applyFill="1" applyBorder="1" applyAlignment="1">
      <alignment horizontal="right" vertical="center"/>
    </xf>
    <xf numFmtId="1" fontId="18" fillId="6" borderId="210" xfId="2" quotePrefix="1" applyNumberFormat="1" applyFont="1" applyFill="1" applyBorder="1" applyAlignment="1" applyProtection="1">
      <alignment horizontal="center" vertical="center"/>
      <protection locked="0"/>
    </xf>
    <xf numFmtId="1" fontId="18" fillId="6" borderId="209" xfId="2" quotePrefix="1" applyNumberFormat="1" applyFont="1" applyFill="1" applyBorder="1" applyAlignment="1" applyProtection="1">
      <alignment horizontal="center" vertical="center"/>
      <protection locked="0"/>
    </xf>
    <xf numFmtId="166" fontId="19" fillId="0" borderId="77" xfId="2" applyNumberFormat="1" applyFont="1" applyFill="1" applyBorder="1" applyAlignment="1" applyProtection="1">
      <alignment horizontal="center" vertical="center"/>
      <protection locked="0"/>
    </xf>
    <xf numFmtId="166" fontId="19" fillId="0" borderId="11" xfId="2" applyNumberFormat="1" applyFont="1" applyFill="1" applyBorder="1" applyAlignment="1" applyProtection="1">
      <alignment horizontal="center" vertical="center"/>
      <protection locked="0"/>
    </xf>
    <xf numFmtId="8" fontId="159" fillId="14" borderId="5" xfId="0" applyNumberFormat="1" applyFont="1" applyFill="1" applyBorder="1" applyAlignment="1">
      <alignment horizontal="center" vertical="center"/>
    </xf>
    <xf numFmtId="164" fontId="3" fillId="14" borderId="106" xfId="0" applyFont="1" applyFill="1" applyBorder="1" applyAlignment="1">
      <alignment vertical="center"/>
    </xf>
    <xf numFmtId="184" fontId="180" fillId="0" borderId="211" xfId="0" applyNumberFormat="1" applyFont="1" applyBorder="1" applyAlignment="1" applyProtection="1">
      <alignment horizontal="center" vertical="center"/>
      <protection locked="0"/>
    </xf>
    <xf numFmtId="3" fontId="170" fillId="0" borderId="0" xfId="0" applyNumberFormat="1" applyFont="1" applyAlignment="1">
      <alignment vertical="center"/>
    </xf>
    <xf numFmtId="4" fontId="96" fillId="0" borderId="0" xfId="0" applyNumberFormat="1" applyFont="1" applyAlignment="1">
      <alignment horizontal="center" vertical="center"/>
    </xf>
    <xf numFmtId="4" fontId="168" fillId="0" borderId="127" xfId="0" applyNumberFormat="1" applyFont="1" applyBorder="1" applyAlignment="1">
      <alignment horizontal="left" vertical="center"/>
    </xf>
    <xf numFmtId="1" fontId="168" fillId="0" borderId="127" xfId="3" quotePrefix="1" applyNumberFormat="1" applyFont="1" applyFill="1" applyBorder="1" applyAlignment="1" applyProtection="1">
      <alignment horizontal="left" vertical="center"/>
    </xf>
    <xf numFmtId="166" fontId="168" fillId="0" borderId="127" xfId="0" applyNumberFormat="1" applyFont="1" applyBorder="1" applyAlignment="1">
      <alignment horizontal="left" vertical="center"/>
    </xf>
    <xf numFmtId="4" fontId="168" fillId="0" borderId="127" xfId="2" applyNumberFormat="1" applyFont="1" applyFill="1" applyBorder="1" applyAlignment="1" applyProtection="1">
      <alignment horizontal="left" vertical="center"/>
    </xf>
    <xf numFmtId="179" fontId="40" fillId="0" borderId="127" xfId="0" applyNumberFormat="1" applyFont="1" applyBorder="1" applyAlignment="1">
      <alignment vertical="center"/>
    </xf>
    <xf numFmtId="164" fontId="156" fillId="0" borderId="0" xfId="0" applyFont="1" applyAlignment="1">
      <alignment vertical="center"/>
    </xf>
    <xf numFmtId="4" fontId="168" fillId="0" borderId="0" xfId="0" applyNumberFormat="1" applyFont="1" applyAlignment="1">
      <alignment horizontal="left" vertical="center"/>
    </xf>
    <xf numFmtId="166" fontId="19" fillId="14" borderId="213" xfId="0" applyNumberFormat="1" applyFont="1" applyFill="1" applyBorder="1" applyAlignment="1">
      <alignment vertical="center"/>
    </xf>
    <xf numFmtId="4" fontId="15" fillId="5" borderId="217" xfId="0" applyNumberFormat="1" applyFont="1" applyFill="1" applyBorder="1" applyAlignment="1">
      <alignment vertical="center"/>
    </xf>
    <xf numFmtId="4" fontId="18" fillId="0" borderId="219" xfId="0" applyNumberFormat="1" applyFont="1" applyBorder="1" applyAlignment="1">
      <alignment vertical="center"/>
    </xf>
    <xf numFmtId="4" fontId="85" fillId="0" borderId="207" xfId="0" applyNumberFormat="1" applyFont="1" applyBorder="1" applyAlignment="1">
      <alignment vertical="center"/>
    </xf>
    <xf numFmtId="4" fontId="49" fillId="0" borderId="1" xfId="0" applyNumberFormat="1" applyFont="1" applyBorder="1" applyAlignment="1">
      <alignment horizontal="center" vertical="center"/>
    </xf>
    <xf numFmtId="1" fontId="193" fillId="22" borderId="220" xfId="0" applyNumberFormat="1" applyFont="1" applyFill="1" applyBorder="1" applyAlignment="1">
      <alignment horizontal="right" vertical="center"/>
    </xf>
    <xf numFmtId="1" fontId="193" fillId="22" borderId="132" xfId="0" applyNumberFormat="1" applyFont="1" applyFill="1" applyBorder="1" applyAlignment="1">
      <alignment horizontal="right" vertical="center"/>
    </xf>
    <xf numFmtId="165" fontId="18" fillId="22" borderId="221" xfId="0" applyNumberFormat="1" applyFont="1" applyFill="1" applyBorder="1" applyAlignment="1">
      <alignment vertical="center"/>
    </xf>
    <xf numFmtId="1" fontId="193" fillId="22" borderId="224" xfId="0" applyNumberFormat="1" applyFont="1" applyFill="1" applyBorder="1" applyAlignment="1">
      <alignment horizontal="right" vertical="center"/>
    </xf>
    <xf numFmtId="165" fontId="18" fillId="22" borderId="222" xfId="0" applyNumberFormat="1" applyFont="1" applyFill="1" applyBorder="1" applyAlignment="1">
      <alignment vertical="center"/>
    </xf>
    <xf numFmtId="1" fontId="155" fillId="0" borderId="0" xfId="0" applyNumberFormat="1" applyFont="1" applyAlignment="1">
      <alignment horizontal="center" vertical="center"/>
    </xf>
    <xf numFmtId="1" fontId="156" fillId="0" borderId="1" xfId="0" applyNumberFormat="1" applyFont="1" applyBorder="1" applyAlignment="1">
      <alignment vertical="center"/>
    </xf>
    <xf numFmtId="4" fontId="170" fillId="0" borderId="0" xfId="0" applyNumberFormat="1" applyFont="1" applyAlignment="1">
      <alignment horizontal="center" vertical="center"/>
    </xf>
    <xf numFmtId="164" fontId="170" fillId="0" borderId="0" xfId="0" applyFont="1" applyAlignment="1">
      <alignment vertical="center"/>
    </xf>
    <xf numFmtId="164" fontId="21" fillId="0" borderId="223" xfId="0" applyFont="1" applyBorder="1" applyAlignment="1">
      <alignment vertical="center"/>
    </xf>
    <xf numFmtId="164" fontId="21" fillId="0" borderId="223" xfId="0" applyFont="1" applyBorder="1" applyAlignment="1">
      <alignment horizontal="right" vertical="center"/>
    </xf>
    <xf numFmtId="168" fontId="21" fillId="0" borderId="223" xfId="0" applyNumberFormat="1" applyFont="1" applyBorder="1" applyAlignment="1">
      <alignment horizontal="center" vertical="center"/>
    </xf>
    <xf numFmtId="168" fontId="21" fillId="0" borderId="223" xfId="0" applyNumberFormat="1" applyFont="1" applyBorder="1" applyAlignment="1">
      <alignment vertical="center"/>
    </xf>
    <xf numFmtId="179" fontId="21" fillId="0" borderId="223" xfId="0" applyNumberFormat="1" applyFont="1" applyBorder="1" applyAlignment="1">
      <alignment vertical="center"/>
    </xf>
    <xf numFmtId="174" fontId="194" fillId="0" borderId="0" xfId="0" applyNumberFormat="1" applyFont="1" applyAlignment="1">
      <alignment horizontal="center" vertical="center"/>
    </xf>
    <xf numFmtId="166" fontId="19" fillId="14" borderId="229" xfId="0" applyNumberFormat="1" applyFont="1" applyFill="1" applyBorder="1" applyAlignment="1">
      <alignment vertical="center"/>
    </xf>
    <xf numFmtId="169" fontId="18" fillId="14" borderId="33" xfId="0" applyNumberFormat="1" applyFont="1" applyFill="1" applyBorder="1" applyAlignment="1">
      <alignment horizontal="center" vertical="center"/>
    </xf>
    <xf numFmtId="169" fontId="18" fillId="14" borderId="32" xfId="0" applyNumberFormat="1" applyFont="1" applyFill="1" applyBorder="1" applyAlignment="1">
      <alignment horizontal="center" vertical="center"/>
    </xf>
    <xf numFmtId="166" fontId="104" fillId="0" borderId="230" xfId="0" applyNumberFormat="1" applyFont="1" applyBorder="1" applyAlignment="1" applyProtection="1">
      <alignment vertical="center"/>
      <protection locked="0"/>
    </xf>
    <xf numFmtId="168" fontId="49" fillId="0" borderId="0" xfId="0" applyNumberFormat="1" applyFont="1" applyAlignment="1">
      <alignment vertical="center"/>
    </xf>
    <xf numFmtId="4" fontId="129" fillId="0" borderId="0" xfId="0" applyNumberFormat="1" applyFont="1" applyAlignment="1">
      <alignment vertical="top"/>
    </xf>
    <xf numFmtId="212" fontId="168" fillId="0" borderId="127" xfId="0" applyNumberFormat="1" applyFont="1" applyBorder="1" applyAlignment="1">
      <alignment horizontal="center" vertical="center"/>
    </xf>
    <xf numFmtId="168" fontId="170" fillId="0" borderId="0" xfId="0" applyNumberFormat="1" applyFont="1" applyAlignment="1">
      <alignment horizontal="center" vertical="center"/>
    </xf>
    <xf numFmtId="166" fontId="78" fillId="0" borderId="231" xfId="0" applyNumberFormat="1" applyFont="1" applyBorder="1" applyAlignment="1" applyProtection="1">
      <alignment horizontal="right" vertical="center"/>
      <protection locked="0"/>
    </xf>
    <xf numFmtId="166" fontId="104" fillId="0" borderId="216" xfId="0" applyNumberFormat="1" applyFont="1" applyBorder="1" applyAlignment="1" applyProtection="1">
      <alignment vertical="center"/>
      <protection locked="0"/>
    </xf>
    <xf numFmtId="166" fontId="78" fillId="0" borderId="214" xfId="0" applyNumberFormat="1" applyFont="1" applyBorder="1" applyAlignment="1" applyProtection="1">
      <alignment horizontal="right" vertical="center"/>
      <protection locked="0"/>
    </xf>
    <xf numFmtId="166" fontId="104" fillId="0" borderId="226" xfId="0" applyNumberFormat="1" applyFont="1" applyBorder="1" applyAlignment="1" applyProtection="1">
      <alignment vertical="center"/>
      <protection locked="0"/>
    </xf>
    <xf numFmtId="166" fontId="78" fillId="0" borderId="225" xfId="0" applyNumberFormat="1" applyFont="1" applyBorder="1" applyAlignment="1" applyProtection="1">
      <alignment horizontal="right" vertical="center"/>
      <protection locked="0"/>
    </xf>
    <xf numFmtId="181" fontId="169" fillId="0" borderId="0" xfId="0" applyNumberFormat="1" applyFont="1" applyAlignment="1" applyProtection="1">
      <alignment vertical="center"/>
      <protection locked="0"/>
    </xf>
    <xf numFmtId="1" fontId="155" fillId="32" borderId="0" xfId="0" applyNumberFormat="1" applyFont="1" applyFill="1" applyAlignment="1">
      <alignment vertical="center"/>
    </xf>
    <xf numFmtId="4" fontId="49" fillId="32" borderId="0" xfId="0" applyNumberFormat="1" applyFont="1" applyFill="1" applyAlignment="1">
      <alignment vertical="center"/>
    </xf>
    <xf numFmtId="166" fontId="89" fillId="14" borderId="164" xfId="0" applyNumberFormat="1" applyFont="1" applyFill="1" applyBorder="1" applyAlignment="1">
      <alignment vertical="center"/>
    </xf>
    <xf numFmtId="166" fontId="90" fillId="16" borderId="54" xfId="0" applyNumberFormat="1" applyFont="1" applyFill="1" applyBorder="1" applyAlignment="1">
      <alignment vertical="center"/>
    </xf>
    <xf numFmtId="166" fontId="90" fillId="16" borderId="55" xfId="0" applyNumberFormat="1" applyFont="1" applyFill="1" applyBorder="1" applyAlignment="1">
      <alignment vertical="center"/>
    </xf>
    <xf numFmtId="166" fontId="90" fillId="16" borderId="56" xfId="0" applyNumberFormat="1" applyFont="1" applyFill="1" applyBorder="1" applyAlignment="1">
      <alignment vertical="center"/>
    </xf>
    <xf numFmtId="166" fontId="82" fillId="14" borderId="51" xfId="0" applyNumberFormat="1" applyFont="1" applyFill="1" applyBorder="1" applyAlignment="1">
      <alignment vertical="center"/>
    </xf>
    <xf numFmtId="166" fontId="82" fillId="14" borderId="52" xfId="0" applyNumberFormat="1" applyFont="1" applyFill="1" applyBorder="1" applyAlignment="1">
      <alignment vertical="center"/>
    </xf>
    <xf numFmtId="166" fontId="82" fillId="14" borderId="53" xfId="0" applyNumberFormat="1" applyFont="1" applyFill="1" applyBorder="1" applyAlignment="1">
      <alignment vertical="center"/>
    </xf>
    <xf numFmtId="195" fontId="89" fillId="19" borderId="58" xfId="0" applyNumberFormat="1" applyFont="1" applyFill="1" applyBorder="1" applyAlignment="1">
      <alignment horizontal="right" vertical="center"/>
    </xf>
    <xf numFmtId="166" fontId="89" fillId="19" borderId="60" xfId="0" applyNumberFormat="1" applyFont="1" applyFill="1" applyBorder="1" applyAlignment="1">
      <alignment vertical="center"/>
    </xf>
    <xf numFmtId="194" fontId="89" fillId="19" borderId="59" xfId="0" applyNumberFormat="1" applyFont="1" applyFill="1" applyBorder="1" applyAlignment="1">
      <alignment horizontal="right" vertical="center"/>
    </xf>
    <xf numFmtId="166" fontId="89" fillId="19" borderId="61" xfId="0" applyNumberFormat="1" applyFont="1" applyFill="1" applyBorder="1" applyAlignment="1">
      <alignment vertical="center"/>
    </xf>
    <xf numFmtId="193" fontId="89" fillId="19" borderId="37" xfId="0" applyNumberFormat="1" applyFont="1" applyFill="1" applyBorder="1" applyAlignment="1">
      <alignment horizontal="right" vertical="center"/>
    </xf>
    <xf numFmtId="166" fontId="89" fillId="19" borderId="14" xfId="0" applyNumberFormat="1" applyFont="1" applyFill="1" applyBorder="1" applyAlignment="1">
      <alignment vertical="center"/>
    </xf>
    <xf numFmtId="210" fontId="198" fillId="33" borderId="69" xfId="0" applyNumberFormat="1" applyFont="1" applyFill="1" applyBorder="1" applyAlignment="1">
      <alignment vertical="center"/>
    </xf>
    <xf numFmtId="166" fontId="200" fillId="22" borderId="221" xfId="2" applyNumberFormat="1" applyFont="1" applyFill="1" applyBorder="1" applyAlignment="1" applyProtection="1">
      <alignment horizontal="right" vertical="center"/>
    </xf>
    <xf numFmtId="164" fontId="201" fillId="14" borderId="5" xfId="0" applyFont="1" applyFill="1" applyBorder="1" applyAlignment="1" applyProtection="1">
      <alignment horizontal="center" vertical="center"/>
      <protection locked="0"/>
    </xf>
    <xf numFmtId="168" fontId="76" fillId="0" borderId="0" xfId="0" applyNumberFormat="1" applyFont="1" applyAlignment="1">
      <alignment horizontal="center"/>
    </xf>
    <xf numFmtId="210" fontId="82" fillId="18" borderId="212" xfId="0" applyNumberFormat="1" applyFont="1" applyFill="1" applyBorder="1" applyAlignment="1">
      <alignment horizontal="center" vertical="center"/>
    </xf>
    <xf numFmtId="192" fontId="46" fillId="14" borderId="208" xfId="1" applyNumberFormat="1" applyFont="1" applyFill="1" applyBorder="1" applyAlignment="1" applyProtection="1">
      <alignment horizontal="right" vertical="center"/>
    </xf>
    <xf numFmtId="183" fontId="131" fillId="14" borderId="244" xfId="7" applyNumberFormat="1" applyFont="1" applyFill="1" applyBorder="1" applyAlignment="1" applyProtection="1">
      <alignment horizontal="right" vertical="center"/>
    </xf>
    <xf numFmtId="183" fontId="131" fillId="14" borderId="18" xfId="7" applyNumberFormat="1" applyFont="1" applyFill="1" applyBorder="1" applyAlignment="1" applyProtection="1">
      <alignment horizontal="right" vertical="center"/>
    </xf>
    <xf numFmtId="4" fontId="49" fillId="0" borderId="0" xfId="0" applyNumberFormat="1" applyFont="1" applyAlignment="1" applyProtection="1">
      <alignment vertical="center"/>
      <protection locked="0"/>
    </xf>
    <xf numFmtId="1" fontId="168" fillId="0" borderId="245" xfId="3" quotePrefix="1" applyNumberFormat="1" applyFont="1" applyFill="1" applyBorder="1" applyAlignment="1" applyProtection="1">
      <alignment horizontal="left" vertical="center"/>
    </xf>
    <xf numFmtId="4" fontId="168" fillId="0" borderId="245" xfId="2" applyNumberFormat="1" applyFont="1" applyFill="1" applyBorder="1" applyAlignment="1" applyProtection="1">
      <alignment horizontal="left" vertical="center"/>
    </xf>
    <xf numFmtId="1" fontId="168" fillId="0" borderId="0" xfId="3" quotePrefix="1" applyNumberFormat="1" applyFont="1" applyFill="1" applyBorder="1" applyAlignment="1" applyProtection="1">
      <alignment horizontal="left" vertical="center"/>
    </xf>
    <xf numFmtId="4" fontId="168" fillId="0" borderId="0" xfId="2" applyNumberFormat="1" applyFont="1" applyFill="1" applyBorder="1" applyAlignment="1" applyProtection="1">
      <alignment horizontal="left" vertical="center"/>
    </xf>
    <xf numFmtId="1" fontId="18" fillId="0" borderId="0" xfId="2" quotePrefix="1" applyNumberFormat="1" applyFont="1" applyFill="1" applyBorder="1" applyAlignment="1" applyProtection="1">
      <alignment horizontal="center" vertical="center"/>
    </xf>
    <xf numFmtId="166" fontId="19" fillId="0" borderId="0" xfId="2" applyNumberFormat="1" applyFont="1" applyFill="1" applyBorder="1" applyAlignment="1" applyProtection="1">
      <alignment horizontal="center" vertical="center"/>
    </xf>
    <xf numFmtId="4" fontId="42" fillId="0" borderId="0" xfId="2" applyNumberFormat="1" applyFont="1" applyFill="1" applyBorder="1" applyAlignment="1" applyProtection="1">
      <alignment vertical="center"/>
    </xf>
    <xf numFmtId="1" fontId="18" fillId="0" borderId="259" xfId="2" quotePrefix="1" applyNumberFormat="1" applyFont="1" applyFill="1" applyBorder="1" applyAlignment="1" applyProtection="1">
      <alignment horizontal="center" vertical="center"/>
    </xf>
    <xf numFmtId="166" fontId="19" fillId="0" borderId="259" xfId="2" applyNumberFormat="1" applyFont="1" applyFill="1" applyBorder="1" applyAlignment="1" applyProtection="1">
      <alignment horizontal="center" vertical="center"/>
    </xf>
    <xf numFmtId="4" fontId="42" fillId="0" borderId="259" xfId="2" applyNumberFormat="1" applyFont="1" applyFill="1" applyBorder="1" applyAlignment="1" applyProtection="1">
      <alignment vertical="center"/>
    </xf>
    <xf numFmtId="1" fontId="153" fillId="14" borderId="264" xfId="2" quotePrefix="1" applyNumberFormat="1" applyFont="1" applyFill="1" applyBorder="1" applyAlignment="1" applyProtection="1">
      <alignment horizontal="center" vertical="center"/>
    </xf>
    <xf numFmtId="166" fontId="153" fillId="14" borderId="265" xfId="2" applyNumberFormat="1" applyFont="1" applyFill="1" applyBorder="1" applyAlignment="1" applyProtection="1">
      <alignment horizontal="center" vertical="center"/>
    </xf>
    <xf numFmtId="4" fontId="18" fillId="6" borderId="268" xfId="2" applyNumberFormat="1" applyFont="1" applyFill="1" applyBorder="1" applyAlignment="1" applyProtection="1">
      <alignment vertical="center"/>
    </xf>
    <xf numFmtId="1" fontId="168" fillId="0" borderId="259" xfId="3" quotePrefix="1" applyNumberFormat="1" applyFont="1" applyFill="1" applyBorder="1" applyAlignment="1" applyProtection="1">
      <alignment horizontal="left" vertical="center"/>
    </xf>
    <xf numFmtId="4" fontId="168" fillId="0" borderId="259" xfId="2" applyNumberFormat="1" applyFont="1" applyFill="1" applyBorder="1" applyAlignment="1" applyProtection="1">
      <alignment horizontal="left" vertical="center"/>
    </xf>
    <xf numFmtId="4" fontId="168" fillId="0" borderId="137" xfId="2" applyNumberFormat="1" applyFont="1" applyFill="1" applyBorder="1" applyAlignment="1" applyProtection="1">
      <alignment horizontal="left" vertical="center"/>
    </xf>
    <xf numFmtId="4" fontId="208" fillId="0" borderId="127" xfId="2" applyNumberFormat="1" applyFont="1" applyFill="1" applyBorder="1" applyAlignment="1" applyProtection="1">
      <alignment horizontal="left" vertical="center"/>
    </xf>
    <xf numFmtId="1" fontId="18" fillId="0" borderId="264" xfId="2" quotePrefix="1" applyNumberFormat="1" applyFont="1" applyFill="1" applyBorder="1" applyAlignment="1" applyProtection="1">
      <alignment horizontal="center" vertical="center"/>
    </xf>
    <xf numFmtId="166" fontId="19" fillId="0" borderId="265" xfId="2" applyNumberFormat="1" applyFont="1" applyFill="1" applyBorder="1" applyAlignment="1" applyProtection="1">
      <alignment horizontal="center" vertical="center"/>
    </xf>
    <xf numFmtId="4" fontId="42" fillId="0" borderId="268" xfId="2" applyNumberFormat="1" applyFont="1" applyFill="1" applyBorder="1" applyAlignment="1" applyProtection="1">
      <alignment vertical="center"/>
    </xf>
    <xf numFmtId="1" fontId="18" fillId="0" borderId="278" xfId="2" quotePrefix="1" applyNumberFormat="1" applyFont="1" applyFill="1" applyBorder="1" applyAlignment="1" applyProtection="1">
      <alignment horizontal="center" vertical="center"/>
    </xf>
    <xf numFmtId="166" fontId="19" fillId="0" borderId="278" xfId="2" applyNumberFormat="1" applyFont="1" applyFill="1" applyBorder="1" applyAlignment="1" applyProtection="1">
      <alignment horizontal="center" vertical="center"/>
    </xf>
    <xf numFmtId="4" fontId="42" fillId="0" borderId="278" xfId="2" applyNumberFormat="1" applyFont="1" applyFill="1" applyBorder="1" applyAlignment="1" applyProtection="1">
      <alignment vertical="center"/>
    </xf>
    <xf numFmtId="1" fontId="129" fillId="32" borderId="137" xfId="3" quotePrefix="1" applyNumberFormat="1" applyFont="1" applyFill="1" applyBorder="1" applyAlignment="1" applyProtection="1">
      <alignment horizontal="left" vertical="center"/>
    </xf>
    <xf numFmtId="4" fontId="129" fillId="32" borderId="137" xfId="2" applyNumberFormat="1" applyFont="1" applyFill="1" applyBorder="1" applyAlignment="1" applyProtection="1">
      <alignment horizontal="left" vertical="center"/>
    </xf>
    <xf numFmtId="1" fontId="18" fillId="36" borderId="283" xfId="2" quotePrefix="1" applyNumberFormat="1" applyFont="1" applyFill="1" applyBorder="1" applyAlignment="1" applyProtection="1">
      <alignment horizontal="center" vertical="center"/>
    </xf>
    <xf numFmtId="166" fontId="19" fillId="36" borderId="284" xfId="2" applyNumberFormat="1" applyFont="1" applyFill="1" applyBorder="1" applyAlignment="1" applyProtection="1">
      <alignment horizontal="center" vertical="center"/>
    </xf>
    <xf numFmtId="4" fontId="42" fillId="36" borderId="286" xfId="2" applyNumberFormat="1" applyFont="1" applyFill="1" applyBorder="1" applyAlignment="1" applyProtection="1">
      <alignment vertical="center"/>
    </xf>
    <xf numFmtId="1" fontId="18" fillId="0" borderId="245" xfId="2" quotePrefix="1" applyNumberFormat="1" applyFont="1" applyFill="1" applyBorder="1" applyAlignment="1" applyProtection="1">
      <alignment horizontal="center" vertical="center"/>
    </xf>
    <xf numFmtId="166" fontId="19" fillId="0" borderId="245" xfId="2" applyNumberFormat="1" applyFont="1" applyFill="1" applyBorder="1" applyAlignment="1" applyProtection="1">
      <alignment horizontal="center" vertical="center"/>
    </xf>
    <xf numFmtId="4" fontId="42" fillId="0" borderId="245" xfId="2" applyNumberFormat="1" applyFont="1" applyFill="1" applyBorder="1" applyAlignment="1" applyProtection="1">
      <alignment vertical="center"/>
    </xf>
    <xf numFmtId="1" fontId="168" fillId="0" borderId="107" xfId="3" quotePrefix="1" applyNumberFormat="1" applyFont="1" applyFill="1" applyBorder="1" applyAlignment="1" applyProtection="1">
      <alignment horizontal="left" vertical="center"/>
    </xf>
    <xf numFmtId="4" fontId="168" fillId="0" borderId="107" xfId="2" applyNumberFormat="1" applyFont="1" applyFill="1" applyBorder="1" applyAlignment="1" applyProtection="1">
      <alignment horizontal="left" vertical="center"/>
    </xf>
    <xf numFmtId="1" fontId="168" fillId="0" borderId="289" xfId="3" quotePrefix="1" applyNumberFormat="1" applyFont="1" applyFill="1" applyBorder="1" applyAlignment="1" applyProtection="1">
      <alignment horizontal="left" vertical="center"/>
    </xf>
    <xf numFmtId="4" fontId="168" fillId="0" borderId="289" xfId="2" applyNumberFormat="1" applyFont="1" applyFill="1" applyBorder="1" applyAlignment="1" applyProtection="1">
      <alignment horizontal="left" vertical="center"/>
    </xf>
    <xf numFmtId="176" fontId="98" fillId="34" borderId="120" xfId="0" quotePrefix="1" applyNumberFormat="1" applyFont="1" applyFill="1" applyBorder="1" applyAlignment="1">
      <alignment horizontal="center" vertical="center"/>
    </xf>
    <xf numFmtId="164" fontId="241" fillId="0" borderId="295" xfId="0" applyFont="1" applyBorder="1" applyAlignment="1">
      <alignment horizontal="center" vertical="center"/>
    </xf>
    <xf numFmtId="169" fontId="153" fillId="14" borderId="296" xfId="0" applyNumberFormat="1" applyFont="1" applyFill="1" applyBorder="1" applyAlignment="1">
      <alignment horizontal="left" vertical="center"/>
    </xf>
    <xf numFmtId="165" fontId="146" fillId="14" borderId="297" xfId="0" applyNumberFormat="1" applyFont="1" applyFill="1" applyBorder="1" applyAlignment="1">
      <alignment horizontal="center" vertical="center"/>
    </xf>
    <xf numFmtId="164" fontId="241" fillId="0" borderId="185" xfId="0" applyFont="1" applyBorder="1" applyAlignment="1">
      <alignment horizontal="center" vertical="center"/>
    </xf>
    <xf numFmtId="169" fontId="153" fillId="7" borderId="176" xfId="0" applyNumberFormat="1" applyFont="1" applyFill="1" applyBorder="1" applyAlignment="1">
      <alignment horizontal="left" vertical="center"/>
    </xf>
    <xf numFmtId="164" fontId="241" fillId="0" borderId="304" xfId="0" applyFont="1" applyBorder="1" applyAlignment="1">
      <alignment horizontal="center" vertical="center"/>
    </xf>
    <xf numFmtId="169" fontId="153" fillId="7" borderId="305" xfId="0" applyNumberFormat="1" applyFont="1" applyFill="1" applyBorder="1" applyAlignment="1">
      <alignment horizontal="left" vertical="center"/>
    </xf>
    <xf numFmtId="164" fontId="241" fillId="0" borderId="311" xfId="0" applyFont="1" applyBorder="1" applyAlignment="1">
      <alignment horizontal="center" vertical="center"/>
    </xf>
    <xf numFmtId="169" fontId="153" fillId="0" borderId="199" xfId="0" applyNumberFormat="1" applyFont="1" applyBorder="1" applyAlignment="1">
      <alignment horizontal="left" vertical="center"/>
    </xf>
    <xf numFmtId="169" fontId="153" fillId="0" borderId="0" xfId="0" applyNumberFormat="1" applyFont="1" applyAlignment="1">
      <alignment horizontal="left" vertical="center"/>
    </xf>
    <xf numFmtId="169" fontId="153" fillId="0" borderId="0" xfId="0" applyNumberFormat="1" applyFont="1" applyAlignment="1">
      <alignment horizontal="right" vertical="center"/>
    </xf>
    <xf numFmtId="164" fontId="241" fillId="0" borderId="190" xfId="0" applyFont="1" applyBorder="1" applyAlignment="1">
      <alignment horizontal="center" vertical="center"/>
    </xf>
    <xf numFmtId="169" fontId="153" fillId="0" borderId="191" xfId="0" applyNumberFormat="1" applyFont="1" applyBorder="1" applyAlignment="1">
      <alignment horizontal="left" vertical="center"/>
    </xf>
    <xf numFmtId="14" fontId="242" fillId="0" borderId="0" xfId="0" applyNumberFormat="1" applyFont="1" applyAlignment="1">
      <alignment horizontal="center" vertical="center"/>
    </xf>
    <xf numFmtId="169" fontId="153" fillId="7" borderId="323" xfId="0" applyNumberFormat="1" applyFont="1" applyFill="1" applyBorder="1" applyAlignment="1">
      <alignment horizontal="left" vertical="center"/>
    </xf>
    <xf numFmtId="164" fontId="54" fillId="0" borderId="0" xfId="0" applyFont="1" applyAlignment="1">
      <alignment vertical="center"/>
    </xf>
    <xf numFmtId="165" fontId="153" fillId="0" borderId="329" xfId="0" applyNumberFormat="1" applyFont="1" applyBorder="1" applyAlignment="1">
      <alignment horizontal="left" vertical="center"/>
    </xf>
    <xf numFmtId="164" fontId="243" fillId="0" borderId="190" xfId="0" applyFont="1" applyBorder="1" applyAlignment="1">
      <alignment horizontal="center" vertical="center"/>
    </xf>
    <xf numFmtId="191" fontId="244" fillId="0" borderId="332" xfId="0" applyNumberFormat="1" applyFont="1" applyBorder="1" applyAlignment="1">
      <alignment horizontal="left" vertical="center"/>
    </xf>
    <xf numFmtId="8" fontId="244" fillId="26" borderId="330" xfId="0" applyNumberFormat="1" applyFont="1" applyFill="1" applyBorder="1" applyAlignment="1">
      <alignment vertical="center"/>
    </xf>
    <xf numFmtId="4" fontId="65" fillId="0" borderId="107" xfId="0" applyNumberFormat="1" applyFont="1" applyBorder="1" applyAlignment="1">
      <alignment horizontal="center" vertical="center"/>
    </xf>
    <xf numFmtId="4" fontId="65" fillId="0" borderId="107" xfId="0" applyNumberFormat="1" applyFont="1" applyBorder="1" applyAlignment="1">
      <alignment vertical="center"/>
    </xf>
    <xf numFmtId="4" fontId="65" fillId="0" borderId="107" xfId="0" applyNumberFormat="1" applyFont="1" applyBorder="1" applyAlignment="1">
      <alignment horizontal="right" vertical="center"/>
    </xf>
    <xf numFmtId="4" fontId="245" fillId="0" borderId="107" xfId="0" applyNumberFormat="1" applyFont="1" applyBorder="1" applyAlignment="1">
      <alignment horizontal="right" vertical="center"/>
    </xf>
    <xf numFmtId="4" fontId="81" fillId="0" borderId="107" xfId="0" applyNumberFormat="1" applyFont="1" applyBorder="1" applyAlignment="1">
      <alignment horizontal="right" vertical="center"/>
    </xf>
    <xf numFmtId="4" fontId="65" fillId="0" borderId="0" xfId="0" applyNumberFormat="1" applyFont="1" applyAlignment="1">
      <alignment horizontal="right" vertical="center"/>
    </xf>
    <xf numFmtId="4" fontId="245" fillId="0" borderId="0" xfId="0" applyNumberFormat="1" applyFont="1" applyAlignment="1">
      <alignment horizontal="right" vertical="center"/>
    </xf>
    <xf numFmtId="4" fontId="81" fillId="0" borderId="0" xfId="0" applyNumberFormat="1" applyFont="1" applyAlignment="1">
      <alignment horizontal="right" vertical="center"/>
    </xf>
    <xf numFmtId="4" fontId="65" fillId="14" borderId="0" xfId="0" applyNumberFormat="1" applyFont="1" applyFill="1" applyAlignment="1">
      <alignment horizontal="center" vertical="center"/>
    </xf>
    <xf numFmtId="4" fontId="65" fillId="14" borderId="0" xfId="0" applyNumberFormat="1" applyFont="1" applyFill="1" applyAlignment="1">
      <alignment vertical="center"/>
    </xf>
    <xf numFmtId="4" fontId="65" fillId="14" borderId="0" xfId="0" applyNumberFormat="1" applyFont="1" applyFill="1" applyAlignment="1">
      <alignment horizontal="right" vertical="center"/>
    </xf>
    <xf numFmtId="4" fontId="245" fillId="14" borderId="0" xfId="0" applyNumberFormat="1" applyFont="1" applyFill="1" applyAlignment="1">
      <alignment horizontal="right" vertical="center"/>
    </xf>
    <xf numFmtId="4" fontId="81" fillId="14" borderId="0" xfId="0" applyNumberFormat="1" applyFont="1" applyFill="1" applyAlignment="1">
      <alignment horizontal="right" vertical="center"/>
    </xf>
    <xf numFmtId="4" fontId="81" fillId="14" borderId="107" xfId="0" applyNumberFormat="1" applyFont="1" applyFill="1" applyBorder="1" applyAlignment="1">
      <alignment horizontal="right" vertical="center"/>
    </xf>
    <xf numFmtId="4" fontId="65" fillId="14" borderId="107" xfId="0" applyNumberFormat="1" applyFont="1" applyFill="1" applyBorder="1" applyAlignment="1">
      <alignment vertical="center"/>
    </xf>
    <xf numFmtId="4" fontId="65" fillId="24" borderId="0" xfId="0" applyNumberFormat="1" applyFont="1" applyFill="1" applyAlignment="1">
      <alignment horizontal="center" vertical="center"/>
    </xf>
    <xf numFmtId="4" fontId="65" fillId="24" borderId="0" xfId="0" applyNumberFormat="1" applyFont="1" applyFill="1" applyAlignment="1">
      <alignment vertical="center"/>
    </xf>
    <xf numFmtId="4" fontId="65" fillId="24" borderId="0" xfId="0" applyNumberFormat="1" applyFont="1" applyFill="1" applyAlignment="1">
      <alignment horizontal="right" vertical="center"/>
    </xf>
    <xf numFmtId="4" fontId="245" fillId="24" borderId="0" xfId="0" applyNumberFormat="1" applyFont="1" applyFill="1" applyAlignment="1">
      <alignment horizontal="right" vertical="center"/>
    </xf>
    <xf numFmtId="4" fontId="81" fillId="24" borderId="0" xfId="0" applyNumberFormat="1" applyFont="1" applyFill="1" applyAlignment="1">
      <alignment horizontal="right" vertical="center"/>
    </xf>
    <xf numFmtId="4" fontId="143" fillId="24" borderId="0" xfId="0" applyNumberFormat="1" applyFont="1" applyFill="1" applyAlignment="1">
      <alignment horizontal="center" vertical="center"/>
    </xf>
    <xf numFmtId="4" fontId="143" fillId="24" borderId="0" xfId="0" applyNumberFormat="1" applyFont="1" applyFill="1" applyAlignment="1">
      <alignment horizontal="right" vertical="center"/>
    </xf>
    <xf numFmtId="4" fontId="65" fillId="24" borderId="107" xfId="0" applyNumberFormat="1" applyFont="1" applyFill="1" applyBorder="1" applyAlignment="1">
      <alignment horizontal="center" vertical="center"/>
    </xf>
    <xf numFmtId="4" fontId="65" fillId="24" borderId="107" xfId="0" applyNumberFormat="1" applyFont="1" applyFill="1" applyBorder="1" applyAlignment="1">
      <alignment vertical="center"/>
    </xf>
    <xf numFmtId="4" fontId="245" fillId="24" borderId="107" xfId="0" applyNumberFormat="1" applyFont="1" applyFill="1" applyBorder="1" applyAlignment="1">
      <alignment horizontal="right" vertical="center"/>
    </xf>
    <xf numFmtId="4" fontId="81" fillId="24" borderId="107" xfId="0" applyNumberFormat="1" applyFont="1" applyFill="1" applyBorder="1" applyAlignment="1">
      <alignment horizontal="right" vertical="center"/>
    </xf>
    <xf numFmtId="4" fontId="65" fillId="15" borderId="0" xfId="0" applyNumberFormat="1" applyFont="1" applyFill="1" applyAlignment="1">
      <alignment horizontal="center" vertical="center"/>
    </xf>
    <xf numFmtId="4" fontId="65" fillId="15" borderId="0" xfId="0" applyNumberFormat="1" applyFont="1" applyFill="1" applyAlignment="1">
      <alignment vertical="center"/>
    </xf>
    <xf numFmtId="4" fontId="65" fillId="15" borderId="0" xfId="0" applyNumberFormat="1" applyFont="1" applyFill="1" applyAlignment="1">
      <alignment horizontal="right" vertical="center"/>
    </xf>
    <xf numFmtId="4" fontId="245" fillId="15" borderId="0" xfId="0" applyNumberFormat="1" applyFont="1" applyFill="1" applyAlignment="1">
      <alignment horizontal="right" vertical="center"/>
    </xf>
    <xf numFmtId="4" fontId="81" fillId="15" borderId="0" xfId="0" applyNumberFormat="1" applyFont="1" applyFill="1" applyAlignment="1">
      <alignment horizontal="right" vertical="center"/>
    </xf>
    <xf numFmtId="4" fontId="143" fillId="15" borderId="0" xfId="0" applyNumberFormat="1" applyFont="1" applyFill="1" applyAlignment="1">
      <alignment horizontal="center" vertical="center"/>
    </xf>
    <xf numFmtId="4" fontId="143" fillId="15" borderId="0" xfId="0" applyNumberFormat="1" applyFont="1" applyFill="1" applyAlignment="1">
      <alignment horizontal="right" vertical="center"/>
    </xf>
    <xf numFmtId="164" fontId="2" fillId="15" borderId="0" xfId="0" applyFont="1" applyFill="1" applyAlignment="1">
      <alignment vertical="center"/>
    </xf>
    <xf numFmtId="166" fontId="15" fillId="15" borderId="0" xfId="0" applyNumberFormat="1" applyFont="1" applyFill="1" applyAlignment="1">
      <alignment vertical="center"/>
    </xf>
    <xf numFmtId="166" fontId="127" fillId="15" borderId="0" xfId="0" applyNumberFormat="1" applyFont="1" applyFill="1" applyAlignment="1">
      <alignment horizontal="left" vertical="center"/>
    </xf>
    <xf numFmtId="166" fontId="153" fillId="6" borderId="208" xfId="0" applyNumberFormat="1" applyFont="1" applyFill="1" applyBorder="1" applyAlignment="1">
      <alignment horizontal="center" vertical="center"/>
    </xf>
    <xf numFmtId="164" fontId="249" fillId="14" borderId="243" xfId="0" applyFont="1" applyFill="1" applyBorder="1" applyAlignment="1">
      <alignment horizontal="center" vertical="center"/>
    </xf>
    <xf numFmtId="166" fontId="153" fillId="14" borderId="218" xfId="0" applyNumberFormat="1" applyFont="1" applyFill="1" applyBorder="1" applyAlignment="1">
      <alignment vertical="center"/>
    </xf>
    <xf numFmtId="164" fontId="249" fillId="14" borderId="203" xfId="0" applyFont="1" applyFill="1" applyBorder="1" applyAlignment="1">
      <alignment horizontal="center" vertical="center"/>
    </xf>
    <xf numFmtId="166" fontId="153" fillId="14" borderId="240" xfId="0" applyNumberFormat="1" applyFont="1" applyFill="1" applyBorder="1" applyAlignment="1">
      <alignment vertical="center"/>
    </xf>
    <xf numFmtId="4" fontId="65" fillId="15" borderId="107" xfId="0" applyNumberFormat="1" applyFont="1" applyFill="1" applyBorder="1" applyAlignment="1">
      <alignment horizontal="center" vertical="center"/>
    </xf>
    <xf numFmtId="4" fontId="65" fillId="15" borderId="107" xfId="0" applyNumberFormat="1" applyFont="1" applyFill="1" applyBorder="1" applyAlignment="1">
      <alignment horizontal="right" vertical="center"/>
    </xf>
    <xf numFmtId="4" fontId="245" fillId="15" borderId="107" xfId="0" applyNumberFormat="1" applyFont="1" applyFill="1" applyBorder="1" applyAlignment="1">
      <alignment horizontal="right" vertical="center"/>
    </xf>
    <xf numFmtId="4" fontId="81" fillId="15" borderId="107" xfId="0" applyNumberFormat="1" applyFont="1" applyFill="1" applyBorder="1" applyAlignment="1">
      <alignment horizontal="right" vertical="center"/>
    </xf>
    <xf numFmtId="4" fontId="65" fillId="15" borderId="107" xfId="0" applyNumberFormat="1" applyFont="1" applyFill="1" applyBorder="1" applyAlignment="1">
      <alignment vertical="center"/>
    </xf>
    <xf numFmtId="4" fontId="65" fillId="25" borderId="0" xfId="0" applyNumberFormat="1" applyFont="1" applyFill="1" applyAlignment="1">
      <alignment horizontal="center" vertical="center"/>
    </xf>
    <xf numFmtId="4" fontId="65" fillId="25" borderId="0" xfId="0" applyNumberFormat="1" applyFont="1" applyFill="1" applyAlignment="1">
      <alignment vertical="center"/>
    </xf>
    <xf numFmtId="4" fontId="65" fillId="25" borderId="0" xfId="0" applyNumberFormat="1" applyFont="1" applyFill="1" applyAlignment="1">
      <alignment horizontal="right" vertical="center"/>
    </xf>
    <xf numFmtId="4" fontId="245" fillId="25" borderId="0" xfId="0" applyNumberFormat="1" applyFont="1" applyFill="1" applyAlignment="1">
      <alignment horizontal="right" vertical="center"/>
    </xf>
    <xf numFmtId="4" fontId="81" fillId="25" borderId="0" xfId="0" applyNumberFormat="1" applyFont="1" applyFill="1" applyAlignment="1">
      <alignment horizontal="right" vertical="center"/>
    </xf>
    <xf numFmtId="4" fontId="143" fillId="25" borderId="0" xfId="0" applyNumberFormat="1" applyFont="1" applyFill="1" applyAlignment="1">
      <alignment horizontal="center" vertical="center"/>
    </xf>
    <xf numFmtId="4" fontId="143" fillId="25" borderId="0" xfId="0" applyNumberFormat="1" applyFont="1" applyFill="1" applyAlignment="1">
      <alignment horizontal="right" vertical="center"/>
    </xf>
    <xf numFmtId="164" fontId="2" fillId="25" borderId="0" xfId="0" applyFont="1" applyFill="1" applyAlignment="1">
      <alignment vertical="center"/>
    </xf>
    <xf numFmtId="184" fontId="126" fillId="14" borderId="208" xfId="0" applyNumberFormat="1" applyFont="1" applyFill="1" applyBorder="1" applyAlignment="1">
      <alignment horizontal="center" vertical="center"/>
    </xf>
    <xf numFmtId="4" fontId="65" fillId="25" borderId="107" xfId="0" applyNumberFormat="1" applyFont="1" applyFill="1" applyBorder="1" applyAlignment="1">
      <alignment horizontal="center" vertical="center"/>
    </xf>
    <xf numFmtId="4" fontId="65" fillId="25" borderId="107" xfId="0" applyNumberFormat="1" applyFont="1" applyFill="1" applyBorder="1" applyAlignment="1">
      <alignment vertical="center"/>
    </xf>
    <xf numFmtId="4" fontId="65" fillId="25" borderId="107" xfId="0" applyNumberFormat="1" applyFont="1" applyFill="1" applyBorder="1" applyAlignment="1">
      <alignment horizontal="right" vertical="center"/>
    </xf>
    <xf numFmtId="4" fontId="245" fillId="25" borderId="107" xfId="0" applyNumberFormat="1" applyFont="1" applyFill="1" applyBorder="1" applyAlignment="1">
      <alignment horizontal="right" vertical="center"/>
    </xf>
    <xf numFmtId="4" fontId="208" fillId="25" borderId="107" xfId="0" applyNumberFormat="1" applyFont="1" applyFill="1" applyBorder="1" applyAlignment="1">
      <alignment horizontal="left" vertical="center"/>
    </xf>
    <xf numFmtId="4" fontId="81" fillId="25" borderId="107" xfId="0" applyNumberFormat="1" applyFont="1" applyFill="1" applyBorder="1" applyAlignment="1">
      <alignment horizontal="right" vertical="center"/>
    </xf>
    <xf numFmtId="168" fontId="73" fillId="0" borderId="0" xfId="0" applyNumberFormat="1" applyFont="1" applyAlignment="1">
      <alignment horizontal="right" vertical="center"/>
    </xf>
    <xf numFmtId="168" fontId="75" fillId="0" borderId="0" xfId="0" applyNumberFormat="1" applyFont="1" applyAlignment="1">
      <alignment horizontal="right" vertical="center"/>
    </xf>
    <xf numFmtId="168" fontId="251" fillId="0" borderId="0" xfId="0" applyNumberFormat="1" applyFont="1" applyAlignment="1">
      <alignment horizontal="right" vertical="center"/>
    </xf>
    <xf numFmtId="4" fontId="49" fillId="0" borderId="251" xfId="0" applyNumberFormat="1" applyFont="1" applyBorder="1" applyAlignment="1">
      <alignment vertical="center"/>
    </xf>
    <xf numFmtId="1" fontId="49" fillId="0" borderId="251" xfId="0" applyNumberFormat="1" applyFont="1" applyBorder="1" applyAlignment="1">
      <alignment vertical="center"/>
    </xf>
    <xf numFmtId="176" fontId="214" fillId="5" borderId="175" xfId="0" quotePrefix="1" applyNumberFormat="1" applyFont="1" applyFill="1" applyBorder="1" applyAlignment="1">
      <alignment horizontal="center" vertical="center"/>
    </xf>
    <xf numFmtId="176" fontId="98" fillId="5" borderId="13" xfId="0" quotePrefix="1" applyNumberFormat="1" applyFont="1" applyFill="1" applyBorder="1" applyAlignment="1">
      <alignment horizontal="center" vertical="center"/>
    </xf>
    <xf numFmtId="14" fontId="215" fillId="6" borderId="49" xfId="0" applyNumberFormat="1" applyFont="1" applyFill="1" applyBorder="1" applyAlignment="1">
      <alignment horizontal="center" vertical="center"/>
    </xf>
    <xf numFmtId="165" fontId="215" fillId="6" borderId="49" xfId="0" applyNumberFormat="1" applyFont="1" applyFill="1" applyBorder="1" applyAlignment="1">
      <alignment vertical="center"/>
    </xf>
    <xf numFmtId="165" fontId="215" fillId="6" borderId="137" xfId="0" applyNumberFormat="1" applyFont="1" applyFill="1" applyBorder="1" applyAlignment="1">
      <alignment vertical="center"/>
    </xf>
    <xf numFmtId="165" fontId="215" fillId="6" borderId="96" xfId="0" applyNumberFormat="1" applyFont="1" applyFill="1" applyBorder="1" applyAlignment="1">
      <alignment horizontal="center" vertical="center"/>
    </xf>
    <xf numFmtId="168" fontId="215" fillId="6" borderId="49" xfId="0" applyNumberFormat="1" applyFont="1" applyFill="1" applyBorder="1" applyAlignment="1">
      <alignment horizontal="center" vertical="center"/>
    </xf>
    <xf numFmtId="168" fontId="215" fillId="6" borderId="72" xfId="0" quotePrefix="1" applyNumberFormat="1" applyFont="1" applyFill="1" applyBorder="1" applyAlignment="1">
      <alignment horizontal="center" vertical="center"/>
    </xf>
    <xf numFmtId="179" fontId="215" fillId="6" borderId="73" xfId="0" applyNumberFormat="1" applyFont="1" applyFill="1" applyBorder="1" applyAlignment="1">
      <alignment horizontal="center" vertical="center"/>
    </xf>
    <xf numFmtId="166" fontId="215" fillId="6" borderId="49" xfId="0" applyNumberFormat="1" applyFont="1" applyFill="1" applyBorder="1" applyAlignment="1">
      <alignment horizontal="center" vertical="center"/>
    </xf>
    <xf numFmtId="175" fontId="76" fillId="15" borderId="202" xfId="0" applyNumberFormat="1" applyFont="1" applyFill="1" applyBorder="1" applyAlignment="1">
      <alignment horizontal="right" vertical="center"/>
    </xf>
    <xf numFmtId="181" fontId="120" fillId="15" borderId="206" xfId="0" applyNumberFormat="1" applyFont="1" applyFill="1" applyBorder="1" applyAlignment="1">
      <alignment vertical="center"/>
    </xf>
    <xf numFmtId="164" fontId="3" fillId="0" borderId="0" xfId="0" applyFont="1"/>
    <xf numFmtId="164" fontId="210" fillId="0" borderId="248" xfId="0" quotePrefix="1" applyFont="1" applyBorder="1" applyAlignment="1">
      <alignment horizontal="center"/>
    </xf>
    <xf numFmtId="4" fontId="49" fillId="0" borderId="0" xfId="0" applyNumberFormat="1" applyFont="1" applyAlignment="1">
      <alignment horizontal="center"/>
    </xf>
    <xf numFmtId="164" fontId="188" fillId="0" borderId="0" xfId="0" applyFont="1"/>
    <xf numFmtId="164" fontId="210" fillId="0" borderId="104" xfId="0" quotePrefix="1" applyFont="1" applyBorder="1" applyAlignment="1">
      <alignment horizontal="center"/>
    </xf>
    <xf numFmtId="4" fontId="49" fillId="0" borderId="0" xfId="0" applyNumberFormat="1" applyFont="1"/>
    <xf numFmtId="14" fontId="216" fillId="0" borderId="0" xfId="0" applyNumberFormat="1" applyFont="1" applyAlignment="1">
      <alignment horizontal="center"/>
    </xf>
    <xf numFmtId="164" fontId="217" fillId="0" borderId="0" xfId="0" applyFont="1"/>
    <xf numFmtId="164" fontId="3" fillId="0" borderId="0" xfId="0" applyFont="1" applyAlignment="1">
      <alignment horizontal="center"/>
    </xf>
    <xf numFmtId="168" fontId="218" fillId="0" borderId="0" xfId="0" applyNumberFormat="1" applyFont="1"/>
    <xf numFmtId="168" fontId="210" fillId="0" borderId="203" xfId="0" quotePrefix="1" applyNumberFormat="1" applyFont="1" applyBorder="1" applyAlignment="1">
      <alignment horizontal="center"/>
    </xf>
    <xf numFmtId="1" fontId="50" fillId="0" borderId="0" xfId="0" applyNumberFormat="1" applyFont="1"/>
    <xf numFmtId="169" fontId="167" fillId="0" borderId="0" xfId="0" applyNumberFormat="1" applyFont="1" applyAlignment="1">
      <alignment vertical="center" textRotation="90" wrapText="1"/>
    </xf>
    <xf numFmtId="169" fontId="146" fillId="0" borderId="0" xfId="0" applyNumberFormat="1" applyFont="1" applyAlignment="1">
      <alignment horizontal="left" vertical="center"/>
    </xf>
    <xf numFmtId="164" fontId="219" fillId="0" borderId="0" xfId="0" applyFont="1" applyAlignment="1">
      <alignment horizontal="left" vertical="center"/>
    </xf>
    <xf numFmtId="169" fontId="167" fillId="0" borderId="245" xfId="0" applyNumberFormat="1" applyFont="1" applyBorder="1" applyAlignment="1">
      <alignment vertical="center" textRotation="90" wrapText="1"/>
    </xf>
    <xf numFmtId="14" fontId="202" fillId="0" borderId="245" xfId="0" applyNumberFormat="1" applyFont="1" applyBorder="1" applyAlignment="1">
      <alignment vertical="center"/>
    </xf>
    <xf numFmtId="4" fontId="168" fillId="0" borderId="245" xfId="0" applyNumberFormat="1" applyFont="1" applyBorder="1" applyAlignment="1">
      <alignment horizontal="left" vertical="center"/>
    </xf>
    <xf numFmtId="166" fontId="168" fillId="0" borderId="245" xfId="0" applyNumberFormat="1" applyFont="1" applyBorder="1" applyAlignment="1">
      <alignment horizontal="left" vertical="center"/>
    </xf>
    <xf numFmtId="212" fontId="168" fillId="0" borderId="245" xfId="0" applyNumberFormat="1" applyFont="1" applyBorder="1" applyAlignment="1">
      <alignment horizontal="center" vertical="center"/>
    </xf>
    <xf numFmtId="164" fontId="220" fillId="0" borderId="0" xfId="0" applyFont="1" applyAlignment="1">
      <alignment horizontal="left"/>
    </xf>
    <xf numFmtId="14" fontId="202" fillId="0" borderId="0" xfId="0" applyNumberFormat="1" applyFont="1" applyAlignment="1">
      <alignment vertical="center"/>
    </xf>
    <xf numFmtId="166" fontId="168" fillId="0" borderId="0" xfId="0" applyNumberFormat="1" applyFont="1" applyAlignment="1">
      <alignment horizontal="left" vertical="center"/>
    </xf>
    <xf numFmtId="212" fontId="168" fillId="0" borderId="0" xfId="0" applyNumberFormat="1" applyFont="1" applyAlignment="1">
      <alignment horizontal="center" vertical="center"/>
    </xf>
    <xf numFmtId="0" fontId="80" fillId="0" borderId="0" xfId="0" applyNumberFormat="1" applyFont="1" applyAlignment="1">
      <alignment horizontal="right" vertical="center"/>
    </xf>
    <xf numFmtId="166" fontId="78" fillId="0" borderId="0" xfId="0" applyNumberFormat="1" applyFont="1" applyAlignment="1">
      <alignment vertical="center"/>
    </xf>
    <xf numFmtId="175" fontId="42" fillId="0" borderId="0" xfId="0" applyNumberFormat="1" applyFont="1" applyAlignment="1">
      <alignment horizontal="center" vertical="center"/>
    </xf>
    <xf numFmtId="4" fontId="106" fillId="0" borderId="0" xfId="0" applyNumberFormat="1" applyFont="1" applyAlignment="1">
      <alignment vertical="center"/>
    </xf>
    <xf numFmtId="175" fontId="76" fillId="0" borderId="0" xfId="0" applyNumberFormat="1" applyFont="1" applyAlignment="1">
      <alignment horizontal="right" vertical="center"/>
    </xf>
    <xf numFmtId="181" fontId="120" fillId="0" borderId="0" xfId="0" applyNumberFormat="1" applyFont="1" applyAlignment="1">
      <alignment vertical="center"/>
    </xf>
    <xf numFmtId="169" fontId="18" fillId="0" borderId="259" xfId="0" applyNumberFormat="1" applyFont="1" applyBorder="1" applyAlignment="1">
      <alignment horizontal="center" vertical="center"/>
    </xf>
    <xf numFmtId="165" fontId="18" fillId="0" borderId="259" xfId="0" applyNumberFormat="1" applyFont="1" applyBorder="1" applyAlignment="1">
      <alignment vertical="center"/>
    </xf>
    <xf numFmtId="0" fontId="80" fillId="0" borderId="259" xfId="0" applyNumberFormat="1" applyFont="1" applyBorder="1" applyAlignment="1">
      <alignment horizontal="right" vertical="center"/>
    </xf>
    <xf numFmtId="166" fontId="78" fillId="0" borderId="259" xfId="0" applyNumberFormat="1" applyFont="1" applyBorder="1" applyAlignment="1">
      <alignment vertical="center"/>
    </xf>
    <xf numFmtId="175" fontId="42" fillId="0" borderId="259" xfId="0" applyNumberFormat="1" applyFont="1" applyBorder="1" applyAlignment="1">
      <alignment horizontal="center" vertical="center"/>
    </xf>
    <xf numFmtId="4" fontId="106" fillId="0" borderId="259" xfId="0" applyNumberFormat="1" applyFont="1" applyBorder="1" applyAlignment="1">
      <alignment vertical="center"/>
    </xf>
    <xf numFmtId="175" fontId="76" fillId="0" borderId="44" xfId="0" applyNumberFormat="1" applyFont="1" applyBorder="1" applyAlignment="1">
      <alignment horizontal="right" vertical="center"/>
    </xf>
    <xf numFmtId="181" fontId="120" fillId="0" borderId="44" xfId="0" applyNumberFormat="1" applyFont="1" applyBorder="1" applyAlignment="1">
      <alignment vertical="center"/>
    </xf>
    <xf numFmtId="176" fontId="214" fillId="5" borderId="13" xfId="0" quotePrefix="1" applyNumberFormat="1" applyFont="1" applyFill="1" applyBorder="1" applyAlignment="1">
      <alignment horizontal="center" vertical="center"/>
    </xf>
    <xf numFmtId="169" fontId="18" fillId="6" borderId="261" xfId="0" applyNumberFormat="1" applyFont="1" applyFill="1" applyBorder="1" applyAlignment="1">
      <alignment horizontal="center" vertical="center"/>
    </xf>
    <xf numFmtId="175" fontId="18" fillId="6" borderId="267" xfId="0" applyNumberFormat="1" applyFont="1" applyFill="1" applyBorder="1" applyAlignment="1">
      <alignment horizontal="center" vertical="center"/>
    </xf>
    <xf numFmtId="4" fontId="18" fillId="14" borderId="262" xfId="0" applyNumberFormat="1" applyFont="1" applyFill="1" applyBorder="1" applyAlignment="1">
      <alignment vertical="center"/>
    </xf>
    <xf numFmtId="175" fontId="76" fillId="15" borderId="267" xfId="0" applyNumberFormat="1" applyFont="1" applyFill="1" applyBorder="1" applyAlignment="1">
      <alignment horizontal="right" vertical="center"/>
    </xf>
    <xf numFmtId="181" fontId="120" fillId="15" borderId="269" xfId="0" applyNumberFormat="1" applyFont="1" applyFill="1" applyBorder="1" applyAlignment="1">
      <alignment vertical="center"/>
    </xf>
    <xf numFmtId="164" fontId="208" fillId="0" borderId="0" xfId="0" applyFont="1" applyAlignment="1">
      <alignment horizontal="left" vertical="center"/>
    </xf>
    <xf numFmtId="4" fontId="129" fillId="0" borderId="0" xfId="0" applyNumberFormat="1" applyFont="1" applyAlignment="1">
      <alignment horizontal="left" vertical="center"/>
    </xf>
    <xf numFmtId="164" fontId="222" fillId="0" borderId="0" xfId="0" applyFont="1" applyAlignment="1">
      <alignment horizontal="left"/>
    </xf>
    <xf numFmtId="14" fontId="202" fillId="0" borderId="259" xfId="0" applyNumberFormat="1" applyFont="1" applyBorder="1" applyAlignment="1">
      <alignment vertical="center"/>
    </xf>
    <xf numFmtId="4" fontId="168" fillId="0" borderId="259" xfId="0" applyNumberFormat="1" applyFont="1" applyBorder="1" applyAlignment="1">
      <alignment horizontal="left" vertical="center"/>
    </xf>
    <xf numFmtId="166" fontId="168" fillId="0" borderId="259" xfId="0" applyNumberFormat="1" applyFont="1" applyBorder="1" applyAlignment="1">
      <alignment horizontal="left" vertical="center"/>
    </xf>
    <xf numFmtId="212" fontId="168" fillId="0" borderId="259" xfId="0" applyNumberFormat="1" applyFont="1" applyBorder="1" applyAlignment="1">
      <alignment horizontal="center" vertical="center"/>
    </xf>
    <xf numFmtId="176" fontId="214" fillId="5" borderId="271" xfId="0" applyNumberFormat="1" applyFont="1" applyFill="1" applyBorder="1" applyAlignment="1">
      <alignment horizontal="center" vertical="center"/>
    </xf>
    <xf numFmtId="2" fontId="76" fillId="0" borderId="0" xfId="0" applyNumberFormat="1" applyFont="1" applyAlignment="1">
      <alignment horizontal="center" vertical="center"/>
    </xf>
    <xf numFmtId="164" fontId="223" fillId="0" borderId="0" xfId="0" applyFont="1" applyAlignment="1">
      <alignment vertical="center"/>
    </xf>
    <xf numFmtId="168" fontId="76" fillId="0" borderId="259" xfId="0" applyNumberFormat="1" applyFont="1" applyBorder="1" applyAlignment="1">
      <alignment horizontal="center"/>
    </xf>
    <xf numFmtId="166" fontId="168" fillId="0" borderId="137" xfId="0" applyNumberFormat="1" applyFont="1" applyBorder="1" applyAlignment="1">
      <alignment horizontal="left" vertical="center"/>
    </xf>
    <xf numFmtId="212" fontId="168" fillId="0" borderId="137" xfId="0" applyNumberFormat="1" applyFont="1" applyBorder="1" applyAlignment="1">
      <alignment horizontal="center" vertical="center"/>
    </xf>
    <xf numFmtId="1" fontId="155" fillId="0" borderId="0" xfId="0" applyNumberFormat="1" applyFont="1" applyAlignment="1">
      <alignment vertical="center"/>
    </xf>
    <xf numFmtId="14" fontId="166" fillId="0" borderId="0" xfId="0" applyNumberFormat="1" applyFont="1" applyAlignment="1">
      <alignment horizontal="left" vertical="center"/>
    </xf>
    <xf numFmtId="14" fontId="224" fillId="6" borderId="175" xfId="0" applyNumberFormat="1" applyFont="1" applyFill="1" applyBorder="1" applyAlignment="1">
      <alignment horizontal="center" vertical="center"/>
    </xf>
    <xf numFmtId="166" fontId="224" fillId="6" borderId="120" xfId="0" applyNumberFormat="1" applyFont="1" applyFill="1" applyBorder="1" applyAlignment="1">
      <alignment horizontal="center" vertical="center"/>
    </xf>
    <xf numFmtId="181" fontId="169" fillId="15" borderId="269" xfId="0" applyNumberFormat="1" applyFont="1" applyFill="1" applyBorder="1" applyAlignment="1">
      <alignment vertical="center"/>
    </xf>
    <xf numFmtId="175" fontId="76" fillId="15" borderId="0" xfId="0" applyNumberFormat="1" applyFont="1" applyFill="1" applyAlignment="1">
      <alignment horizontal="right"/>
    </xf>
    <xf numFmtId="181" fontId="169" fillId="15" borderId="0" xfId="0" applyNumberFormat="1" applyFont="1" applyFill="1"/>
    <xf numFmtId="164" fontId="26" fillId="0" borderId="107" xfId="0" applyFont="1" applyBorder="1" applyAlignment="1">
      <alignment vertical="center"/>
    </xf>
    <xf numFmtId="164" fontId="26" fillId="0" borderId="107" xfId="0" applyFont="1" applyBorder="1" applyAlignment="1">
      <alignment horizontal="center" vertical="center"/>
    </xf>
    <xf numFmtId="164" fontId="26" fillId="0" borderId="107" xfId="0" applyFont="1" applyBorder="1" applyAlignment="1">
      <alignment horizontal="left" vertical="center"/>
    </xf>
    <xf numFmtId="164" fontId="69" fillId="0" borderId="107" xfId="0" applyFont="1" applyBorder="1" applyAlignment="1">
      <alignment horizontal="center" vertical="center"/>
    </xf>
    <xf numFmtId="164" fontId="26" fillId="0" borderId="0" xfId="0" applyFont="1" applyAlignment="1">
      <alignment horizontal="left" vertical="center"/>
    </xf>
    <xf numFmtId="164" fontId="69" fillId="0" borderId="0" xfId="0" applyFont="1" applyAlignment="1">
      <alignment horizontal="center" vertical="center"/>
    </xf>
    <xf numFmtId="164" fontId="227" fillId="0" borderId="0" xfId="0" applyFont="1" applyAlignment="1">
      <alignment vertical="top"/>
    </xf>
    <xf numFmtId="164" fontId="19" fillId="0" borderId="0" xfId="0" applyFont="1" applyAlignment="1">
      <alignment horizontal="left" vertical="center"/>
    </xf>
    <xf numFmtId="164" fontId="204" fillId="0" borderId="0" xfId="0" applyFont="1" applyAlignment="1">
      <alignment horizontal="center" vertical="center"/>
    </xf>
    <xf numFmtId="164" fontId="204" fillId="0" borderId="0" xfId="0" applyFont="1" applyAlignment="1">
      <alignment horizontal="left" vertical="center"/>
    </xf>
    <xf numFmtId="179" fontId="155" fillId="0" borderId="127" xfId="0" applyNumberFormat="1" applyFont="1" applyBorder="1" applyAlignment="1">
      <alignment vertical="center"/>
    </xf>
    <xf numFmtId="212" fontId="208" fillId="0" borderId="127" xfId="0" applyNumberFormat="1" applyFont="1" applyBorder="1" applyAlignment="1">
      <alignment horizontal="center" vertical="center"/>
    </xf>
    <xf numFmtId="166" fontId="64" fillId="0" borderId="127" xfId="0" applyNumberFormat="1" applyFont="1" applyBorder="1" applyAlignment="1">
      <alignment vertical="center"/>
    </xf>
    <xf numFmtId="169" fontId="18" fillId="0" borderId="261" xfId="0" applyNumberFormat="1" applyFont="1" applyBorder="1" applyAlignment="1">
      <alignment horizontal="center" vertical="center"/>
    </xf>
    <xf numFmtId="165" fontId="18" fillId="0" borderId="262" xfId="0" applyNumberFormat="1" applyFont="1" applyBorder="1" applyAlignment="1">
      <alignment vertical="center"/>
    </xf>
    <xf numFmtId="0" fontId="80" fillId="0" borderId="267" xfId="0" applyNumberFormat="1" applyFont="1" applyBorder="1" applyAlignment="1">
      <alignment horizontal="right" vertical="center"/>
    </xf>
    <xf numFmtId="166" fontId="78" fillId="0" borderId="266" xfId="0" applyNumberFormat="1" applyFont="1" applyBorder="1" applyAlignment="1">
      <alignment vertical="center"/>
    </xf>
    <xf numFmtId="175" fontId="42" fillId="0" borderId="267" xfId="0" applyNumberFormat="1" applyFont="1" applyBorder="1" applyAlignment="1">
      <alignment horizontal="center" vertical="center"/>
    </xf>
    <xf numFmtId="4" fontId="106" fillId="25" borderId="262" xfId="0" applyNumberFormat="1" applyFont="1" applyFill="1" applyBorder="1" applyAlignment="1">
      <alignment vertical="center"/>
    </xf>
    <xf numFmtId="4" fontId="21" fillId="32" borderId="0" xfId="0" applyNumberFormat="1" applyFont="1" applyFill="1" applyAlignment="1">
      <alignment horizontal="center" vertical="center"/>
    </xf>
    <xf numFmtId="169" fontId="18" fillId="0" borderId="278" xfId="0" applyNumberFormat="1" applyFont="1" applyBorder="1" applyAlignment="1">
      <alignment horizontal="center" vertical="center"/>
    </xf>
    <xf numFmtId="165" fontId="18" fillId="0" borderId="278" xfId="0" applyNumberFormat="1" applyFont="1" applyBorder="1" applyAlignment="1">
      <alignment vertical="center"/>
    </xf>
    <xf numFmtId="0" fontId="80" fillId="0" borderId="278" xfId="0" applyNumberFormat="1" applyFont="1" applyBorder="1" applyAlignment="1">
      <alignment horizontal="right" vertical="center"/>
    </xf>
    <xf numFmtId="166" fontId="78" fillId="0" borderId="278" xfId="0" applyNumberFormat="1" applyFont="1" applyBorder="1" applyAlignment="1">
      <alignment vertical="center"/>
    </xf>
    <xf numFmtId="175" fontId="42" fillId="0" borderId="278" xfId="0" applyNumberFormat="1" applyFont="1" applyBorder="1" applyAlignment="1">
      <alignment horizontal="center" vertical="center"/>
    </xf>
    <xf numFmtId="175" fontId="76" fillId="15" borderId="0" xfId="0" applyNumberFormat="1" applyFont="1" applyFill="1" applyAlignment="1">
      <alignment horizontal="right" vertical="center"/>
    </xf>
    <xf numFmtId="181" fontId="120" fillId="15" borderId="0" xfId="0" applyNumberFormat="1" applyFont="1" applyFill="1" applyAlignment="1">
      <alignment vertical="center"/>
    </xf>
    <xf numFmtId="169" fontId="18" fillId="0" borderId="0" xfId="0" applyNumberFormat="1" applyFont="1" applyAlignment="1">
      <alignment horizontal="center" vertical="center"/>
    </xf>
    <xf numFmtId="165" fontId="18" fillId="0" borderId="0" xfId="0" applyNumberFormat="1" applyFont="1" applyAlignment="1">
      <alignment vertical="center"/>
    </xf>
    <xf numFmtId="4" fontId="213" fillId="32" borderId="0" xfId="0" applyNumberFormat="1" applyFont="1" applyFill="1" applyAlignment="1">
      <alignment horizontal="center" vertical="center"/>
    </xf>
    <xf numFmtId="14" fontId="230" fillId="32" borderId="137" xfId="0" applyNumberFormat="1" applyFont="1" applyFill="1" applyBorder="1" applyAlignment="1">
      <alignment horizontal="left" vertical="center"/>
    </xf>
    <xf numFmtId="4" fontId="129" fillId="32" borderId="137" xfId="0" applyNumberFormat="1" applyFont="1" applyFill="1" applyBorder="1" applyAlignment="1">
      <alignment horizontal="left" vertical="center"/>
    </xf>
    <xf numFmtId="166" fontId="129" fillId="32" borderId="137" xfId="0" applyNumberFormat="1" applyFont="1" applyFill="1" applyBorder="1" applyAlignment="1">
      <alignment horizontal="left" vertical="center"/>
    </xf>
    <xf numFmtId="179" fontId="231" fillId="32" borderId="137" xfId="0" applyNumberFormat="1" applyFont="1" applyFill="1" applyBorder="1" applyAlignment="1">
      <alignment vertical="center"/>
    </xf>
    <xf numFmtId="212" fontId="129" fillId="32" borderId="137" xfId="0" applyNumberFormat="1" applyFont="1" applyFill="1" applyBorder="1" applyAlignment="1">
      <alignment horizontal="center" vertical="center"/>
    </xf>
    <xf numFmtId="168" fontId="49" fillId="32" borderId="137" xfId="0" applyNumberFormat="1" applyFont="1" applyFill="1" applyBorder="1" applyAlignment="1">
      <alignment vertical="center"/>
    </xf>
    <xf numFmtId="166" fontId="232" fillId="32" borderId="137" xfId="0" applyNumberFormat="1" applyFont="1" applyFill="1" applyBorder="1" applyAlignment="1">
      <alignment vertical="center"/>
    </xf>
    <xf numFmtId="4" fontId="213" fillId="32" borderId="0" xfId="0" applyNumberFormat="1" applyFont="1" applyFill="1" applyAlignment="1">
      <alignment horizontal="left" vertical="center"/>
    </xf>
    <xf numFmtId="164" fontId="204" fillId="0" borderId="0" xfId="0" applyFont="1" applyAlignment="1">
      <alignment vertical="top"/>
    </xf>
    <xf numFmtId="164" fontId="26" fillId="0" borderId="0" xfId="0" applyFont="1" applyAlignment="1">
      <alignment vertical="top"/>
    </xf>
    <xf numFmtId="4" fontId="21" fillId="36" borderId="279" xfId="0" applyNumberFormat="1" applyFont="1" applyFill="1" applyBorder="1" applyAlignment="1">
      <alignment horizontal="center" vertical="center"/>
    </xf>
    <xf numFmtId="169" fontId="18" fillId="36" borderId="280" xfId="0" applyNumberFormat="1" applyFont="1" applyFill="1" applyBorder="1" applyAlignment="1">
      <alignment horizontal="center" vertical="center"/>
    </xf>
    <xf numFmtId="165" fontId="18" fillId="36" borderId="281" xfId="0" applyNumberFormat="1" applyFont="1" applyFill="1" applyBorder="1" applyAlignment="1">
      <alignment vertical="center"/>
    </xf>
    <xf numFmtId="0" fontId="80" fillId="36" borderId="282" xfId="0" applyNumberFormat="1" applyFont="1" applyFill="1" applyBorder="1" applyAlignment="1">
      <alignment horizontal="right" vertical="center"/>
    </xf>
    <xf numFmtId="166" fontId="78" fillId="36" borderId="285" xfId="0" applyNumberFormat="1" applyFont="1" applyFill="1" applyBorder="1" applyAlignment="1">
      <alignment vertical="center"/>
    </xf>
    <xf numFmtId="175" fontId="42" fillId="36" borderId="282" xfId="0" applyNumberFormat="1" applyFont="1" applyFill="1" applyBorder="1" applyAlignment="1">
      <alignment horizontal="center" vertical="center"/>
    </xf>
    <xf numFmtId="4" fontId="106" fillId="36" borderId="281" xfId="0" applyNumberFormat="1" applyFont="1" applyFill="1" applyBorder="1" applyAlignment="1">
      <alignment vertical="center"/>
    </xf>
    <xf numFmtId="175" fontId="76" fillId="36" borderId="282" xfId="0" applyNumberFormat="1" applyFont="1" applyFill="1" applyBorder="1" applyAlignment="1">
      <alignment horizontal="right" vertical="center"/>
    </xf>
    <xf numFmtId="181" fontId="120" fillId="36" borderId="287" xfId="0" applyNumberFormat="1" applyFont="1" applyFill="1" applyBorder="1" applyAlignment="1">
      <alignment vertical="center"/>
    </xf>
    <xf numFmtId="4" fontId="21" fillId="36" borderId="288" xfId="0" applyNumberFormat="1" applyFont="1" applyFill="1" applyBorder="1" applyAlignment="1">
      <alignment horizontal="center" vertical="center"/>
    </xf>
    <xf numFmtId="169" fontId="18" fillId="0" borderId="245" xfId="0" applyNumberFormat="1" applyFont="1" applyBorder="1" applyAlignment="1">
      <alignment horizontal="center" vertical="center"/>
    </xf>
    <xf numFmtId="165" fontId="18" fillId="0" borderId="245" xfId="0" applyNumberFormat="1" applyFont="1" applyBorder="1" applyAlignment="1">
      <alignment vertical="center"/>
    </xf>
    <xf numFmtId="0" fontId="80" fillId="0" borderId="245" xfId="0" applyNumberFormat="1" applyFont="1" applyBorder="1" applyAlignment="1">
      <alignment horizontal="right" vertical="center"/>
    </xf>
    <xf numFmtId="166" fontId="78" fillId="0" borderId="245" xfId="0" applyNumberFormat="1" applyFont="1" applyBorder="1" applyAlignment="1">
      <alignment vertical="center"/>
    </xf>
    <xf numFmtId="175" fontId="42" fillId="0" borderId="245" xfId="0" applyNumberFormat="1" applyFont="1" applyBorder="1" applyAlignment="1">
      <alignment horizontal="center" vertical="center"/>
    </xf>
    <xf numFmtId="164" fontId="204" fillId="0" borderId="0" xfId="0" applyFont="1" applyAlignment="1">
      <alignment vertical="center"/>
    </xf>
    <xf numFmtId="14" fontId="228" fillId="0" borderId="107" xfId="0" applyNumberFormat="1" applyFont="1" applyBorder="1" applyAlignment="1">
      <alignment vertical="center"/>
    </xf>
    <xf numFmtId="14" fontId="202" fillId="0" borderId="107" xfId="0" applyNumberFormat="1" applyFont="1" applyBorder="1" applyAlignment="1">
      <alignment vertical="center"/>
    </xf>
    <xf numFmtId="4" fontId="168" fillId="0" borderId="107" xfId="0" applyNumberFormat="1" applyFont="1" applyBorder="1" applyAlignment="1">
      <alignment horizontal="left" vertical="center"/>
    </xf>
    <xf numFmtId="166" fontId="168" fillId="0" borderId="107" xfId="0" applyNumberFormat="1" applyFont="1" applyBorder="1" applyAlignment="1">
      <alignment horizontal="left" vertical="center"/>
    </xf>
    <xf numFmtId="179" fontId="40" fillId="0" borderId="107" xfId="0" applyNumberFormat="1" applyFont="1" applyBorder="1" applyAlignment="1">
      <alignment vertical="center"/>
    </xf>
    <xf numFmtId="212" fontId="168" fillId="0" borderId="107" xfId="0" applyNumberFormat="1" applyFont="1" applyBorder="1" applyAlignment="1">
      <alignment horizontal="center" vertical="center"/>
    </xf>
    <xf numFmtId="14" fontId="202" fillId="0" borderId="289" xfId="0" applyNumberFormat="1" applyFont="1" applyBorder="1" applyAlignment="1">
      <alignment vertical="center"/>
    </xf>
    <xf numFmtId="4" fontId="168" fillId="0" borderId="289" xfId="0" applyNumberFormat="1" applyFont="1" applyBorder="1" applyAlignment="1">
      <alignment horizontal="left" vertical="center"/>
    </xf>
    <xf numFmtId="166" fontId="168" fillId="0" borderId="289" xfId="0" applyNumberFormat="1" applyFont="1" applyBorder="1" applyAlignment="1">
      <alignment horizontal="left" vertical="center"/>
    </xf>
    <xf numFmtId="179" fontId="40" fillId="0" borderId="289" xfId="0" applyNumberFormat="1" applyFont="1" applyBorder="1" applyAlignment="1">
      <alignment vertical="center"/>
    </xf>
    <xf numFmtId="212" fontId="168" fillId="0" borderId="289" xfId="0" applyNumberFormat="1" applyFont="1" applyBorder="1" applyAlignment="1">
      <alignment horizontal="center" vertical="center"/>
    </xf>
    <xf numFmtId="168" fontId="49" fillId="0" borderId="137" xfId="0" applyNumberFormat="1" applyFont="1" applyBorder="1" applyAlignment="1">
      <alignment vertical="center"/>
    </xf>
    <xf numFmtId="166" fontId="64" fillId="0" borderId="137" xfId="0" applyNumberFormat="1" applyFont="1" applyBorder="1" applyAlignment="1">
      <alignment vertical="center"/>
    </xf>
    <xf numFmtId="171" fontId="233" fillId="6" borderId="69" xfId="0" applyNumberFormat="1" applyFont="1" applyFill="1" applyBorder="1" applyAlignment="1">
      <alignment horizontal="center" vertical="center"/>
    </xf>
    <xf numFmtId="2" fontId="236" fillId="6" borderId="291" xfId="0" applyNumberFormat="1" applyFont="1" applyFill="1" applyBorder="1" applyAlignment="1">
      <alignment horizontal="center" vertical="center"/>
    </xf>
    <xf numFmtId="164" fontId="4" fillId="7" borderId="0" xfId="0" applyFont="1" applyFill="1" applyAlignment="1">
      <alignment vertical="top"/>
    </xf>
    <xf numFmtId="164" fontId="49" fillId="7" borderId="0" xfId="0" applyFont="1" applyFill="1" applyAlignment="1">
      <alignment vertical="top"/>
    </xf>
    <xf numFmtId="166" fontId="140" fillId="14" borderId="244" xfId="0" applyNumberFormat="1" applyFont="1" applyFill="1" applyBorder="1" applyAlignment="1">
      <alignment horizontal="center" vertical="center"/>
    </xf>
    <xf numFmtId="166" fontId="7" fillId="14" borderId="250" xfId="0" applyNumberFormat="1" applyFont="1" applyFill="1" applyBorder="1" applyAlignment="1">
      <alignment vertical="center"/>
    </xf>
    <xf numFmtId="166" fontId="171" fillId="14" borderId="247" xfId="0" applyNumberFormat="1" applyFont="1" applyFill="1" applyBorder="1" applyAlignment="1">
      <alignment vertical="center"/>
    </xf>
    <xf numFmtId="164" fontId="4" fillId="14" borderId="245" xfId="0" applyFont="1" applyFill="1" applyBorder="1" applyAlignment="1">
      <alignment vertical="center"/>
    </xf>
    <xf numFmtId="174" fontId="20" fillId="14" borderId="240" xfId="0" applyNumberFormat="1" applyFont="1" applyFill="1" applyBorder="1" applyAlignment="1">
      <alignment vertical="center"/>
    </xf>
    <xf numFmtId="164" fontId="15" fillId="7" borderId="245" xfId="0" applyFont="1" applyFill="1" applyBorder="1" applyAlignment="1">
      <alignment horizontal="center" vertical="center"/>
    </xf>
    <xf numFmtId="164" fontId="20" fillId="7" borderId="245" xfId="0" applyFont="1" applyFill="1" applyBorder="1" applyAlignment="1">
      <alignment vertical="center"/>
    </xf>
    <xf numFmtId="166" fontId="183" fillId="14" borderId="244" xfId="0" applyNumberFormat="1" applyFont="1" applyFill="1" applyBorder="1" applyAlignment="1">
      <alignment horizontal="center" vertical="center"/>
    </xf>
    <xf numFmtId="164" fontId="3" fillId="14" borderId="246" xfId="0" applyFont="1" applyFill="1" applyBorder="1" applyAlignment="1">
      <alignment vertical="center"/>
    </xf>
    <xf numFmtId="3" fontId="159" fillId="14" borderId="247" xfId="0" applyNumberFormat="1" applyFont="1" applyFill="1" applyBorder="1" applyAlignment="1">
      <alignment vertical="center"/>
    </xf>
    <xf numFmtId="173" fontId="208" fillId="14" borderId="0" xfId="0" applyNumberFormat="1" applyFont="1" applyFill="1" applyAlignment="1">
      <alignment horizontal="right" vertical="center"/>
    </xf>
    <xf numFmtId="164" fontId="4" fillId="0" borderId="0" xfId="0" applyFont="1" applyAlignment="1">
      <alignment vertical="top"/>
    </xf>
    <xf numFmtId="164" fontId="183" fillId="14" borderId="18" xfId="0" applyFont="1" applyFill="1" applyBorder="1" applyAlignment="1">
      <alignment horizontal="center" vertical="top"/>
    </xf>
    <xf numFmtId="164" fontId="49" fillId="0" borderId="0" xfId="0" applyFont="1" applyAlignment="1">
      <alignment vertical="top"/>
    </xf>
    <xf numFmtId="192" fontId="132" fillId="14" borderId="250" xfId="0" applyNumberFormat="1" applyFont="1" applyFill="1" applyBorder="1" applyAlignment="1">
      <alignment horizontal="right" vertical="center"/>
    </xf>
    <xf numFmtId="192" fontId="133" fillId="14" borderId="245" xfId="0" applyNumberFormat="1" applyFont="1" applyFill="1" applyBorder="1" applyAlignment="1">
      <alignment horizontal="right" vertical="center"/>
    </xf>
    <xf numFmtId="166" fontId="92" fillId="14" borderId="18" xfId="0" applyNumberFormat="1" applyFont="1" applyFill="1" applyBorder="1" applyAlignment="1">
      <alignment horizontal="right" vertical="center"/>
    </xf>
    <xf numFmtId="164" fontId="183" fillId="14" borderId="203" xfId="0" applyFont="1" applyFill="1" applyBorder="1" applyAlignment="1">
      <alignment horizontal="center" vertical="center"/>
    </xf>
    <xf numFmtId="164" fontId="3" fillId="14" borderId="245" xfId="0" applyFont="1" applyFill="1" applyBorder="1" applyAlignment="1">
      <alignment vertical="center"/>
    </xf>
    <xf numFmtId="164" fontId="57" fillId="14" borderId="245" xfId="0" applyFont="1" applyFill="1" applyBorder="1" applyAlignment="1">
      <alignment horizontal="right" vertical="top"/>
    </xf>
    <xf numFmtId="184" fontId="57" fillId="14" borderId="245" xfId="0" applyNumberFormat="1" applyFont="1" applyFill="1" applyBorder="1" applyAlignment="1">
      <alignment horizontal="left" vertical="top"/>
    </xf>
    <xf numFmtId="164" fontId="3" fillId="14" borderId="240" xfId="0" applyFont="1" applyFill="1" applyBorder="1" applyAlignment="1">
      <alignment vertical="center"/>
    </xf>
    <xf numFmtId="175" fontId="42" fillId="6" borderId="335" xfId="0" applyNumberFormat="1" applyFont="1" applyFill="1" applyBorder="1" applyAlignment="1">
      <alignment horizontal="center" vertical="center"/>
    </xf>
    <xf numFmtId="4" fontId="42" fillId="6" borderId="334" xfId="2" applyNumberFormat="1" applyFont="1" applyFill="1" applyBorder="1" applyAlignment="1" applyProtection="1">
      <alignment vertical="center"/>
    </xf>
    <xf numFmtId="168" fontId="215" fillId="6" borderId="339" xfId="0" quotePrefix="1" applyNumberFormat="1" applyFont="1" applyFill="1" applyBorder="1" applyAlignment="1">
      <alignment horizontal="center" vertical="center"/>
    </xf>
    <xf numFmtId="179" fontId="215" fillId="6" borderId="340" xfId="0" applyNumberFormat="1" applyFont="1" applyFill="1" applyBorder="1" applyAlignment="1">
      <alignment horizontal="center" vertical="center"/>
    </xf>
    <xf numFmtId="175" fontId="42" fillId="17" borderId="255" xfId="0" applyNumberFormat="1" applyFont="1" applyFill="1" applyBorder="1" applyAlignment="1">
      <alignment horizontal="center" vertical="center"/>
    </xf>
    <xf numFmtId="4" fontId="42" fillId="17" borderId="204" xfId="2" applyNumberFormat="1" applyFont="1" applyFill="1" applyBorder="1" applyAlignment="1" applyProtection="1">
      <alignment vertical="center"/>
    </xf>
    <xf numFmtId="3" fontId="157" fillId="0" borderId="0" xfId="0" applyNumberFormat="1" applyFont="1" applyAlignment="1">
      <alignment horizontal="right" vertical="center"/>
    </xf>
    <xf numFmtId="164" fontId="157" fillId="0" borderId="0" xfId="0" applyFont="1" applyAlignment="1">
      <alignment horizontal="right" vertical="center"/>
    </xf>
    <xf numFmtId="1" fontId="157" fillId="0" borderId="0" xfId="0" applyNumberFormat="1" applyFont="1" applyAlignment="1">
      <alignment horizontal="right" vertical="center"/>
    </xf>
    <xf numFmtId="1" fontId="157" fillId="6" borderId="239" xfId="0" applyNumberFormat="1" applyFont="1" applyFill="1" applyBorder="1" applyAlignment="1">
      <alignment horizontal="right" vertical="center"/>
    </xf>
    <xf numFmtId="1" fontId="157" fillId="6" borderId="5" xfId="0" applyNumberFormat="1" applyFont="1" applyFill="1" applyBorder="1" applyAlignment="1">
      <alignment horizontal="right" vertical="center"/>
    </xf>
    <xf numFmtId="1" fontId="80" fillId="6" borderId="5" xfId="0" applyNumberFormat="1" applyFont="1" applyFill="1" applyBorder="1" applyAlignment="1">
      <alignment horizontal="right" vertical="center"/>
    </xf>
    <xf numFmtId="3" fontId="157" fillId="6" borderId="240" xfId="0" applyNumberFormat="1" applyFont="1" applyFill="1" applyBorder="1" applyAlignment="1">
      <alignment horizontal="right" vertical="center"/>
    </xf>
    <xf numFmtId="166" fontId="157" fillId="0" borderId="0" xfId="0" applyNumberFormat="1" applyFont="1" applyAlignment="1">
      <alignment horizontal="right" vertical="center"/>
    </xf>
    <xf numFmtId="165" fontId="18" fillId="0" borderId="343" xfId="0" applyNumberFormat="1" applyFont="1" applyBorder="1" applyAlignment="1">
      <alignment vertical="center"/>
    </xf>
    <xf numFmtId="165" fontId="18" fillId="0" borderId="202" xfId="0" applyNumberFormat="1" applyFont="1" applyBorder="1" applyAlignment="1">
      <alignment vertical="center"/>
    </xf>
    <xf numFmtId="165" fontId="18" fillId="0" borderId="349" xfId="0" applyNumberFormat="1" applyFont="1" applyBorder="1" applyAlignment="1">
      <alignment vertical="center"/>
    </xf>
    <xf numFmtId="165" fontId="18" fillId="36" borderId="282" xfId="0" applyNumberFormat="1" applyFont="1" applyFill="1" applyBorder="1" applyAlignment="1">
      <alignment vertical="center"/>
    </xf>
    <xf numFmtId="168" fontId="224" fillId="6" borderId="352" xfId="0" applyNumberFormat="1" applyFont="1" applyFill="1" applyBorder="1" applyAlignment="1">
      <alignment horizontal="center" vertical="center"/>
    </xf>
    <xf numFmtId="14" fontId="224" fillId="6" borderId="351" xfId="0" applyNumberFormat="1" applyFont="1" applyFill="1" applyBorder="1" applyAlignment="1">
      <alignment horizontal="center" vertical="center"/>
    </xf>
    <xf numFmtId="168" fontId="197" fillId="6" borderId="169" xfId="0" applyNumberFormat="1" applyFont="1" applyFill="1" applyBorder="1" applyAlignment="1">
      <alignment horizontal="center" vertical="center"/>
    </xf>
    <xf numFmtId="210" fontId="187" fillId="29" borderId="341" xfId="0" applyNumberFormat="1" applyFont="1" applyFill="1" applyBorder="1" applyAlignment="1" applyProtection="1">
      <alignment vertical="center"/>
      <protection locked="0"/>
    </xf>
    <xf numFmtId="210" fontId="187" fillId="29" borderId="353" xfId="0" applyNumberFormat="1" applyFont="1" applyFill="1" applyBorder="1" applyAlignment="1" applyProtection="1">
      <alignment vertical="center"/>
      <protection locked="0"/>
    </xf>
    <xf numFmtId="169" fontId="187" fillId="29" borderId="354" xfId="0" applyNumberFormat="1" applyFont="1" applyFill="1" applyBorder="1" applyAlignment="1" applyProtection="1">
      <alignment horizontal="center" vertical="center"/>
      <protection locked="0"/>
    </xf>
    <xf numFmtId="165" fontId="224" fillId="6" borderId="252" xfId="0" applyNumberFormat="1" applyFont="1" applyFill="1" applyBorder="1" applyAlignment="1">
      <alignment horizontal="right" vertical="center"/>
    </xf>
    <xf numFmtId="168" fontId="224" fillId="6" borderId="17" xfId="0" applyNumberFormat="1" applyFont="1" applyFill="1" applyBorder="1" applyAlignment="1">
      <alignment horizontal="center" vertical="center"/>
    </xf>
    <xf numFmtId="169" fontId="153" fillId="14" borderId="41" xfId="0" applyNumberFormat="1" applyFont="1" applyFill="1" applyBorder="1" applyAlignment="1">
      <alignment horizontal="center" vertical="center"/>
    </xf>
    <xf numFmtId="169" fontId="153" fillId="14" borderId="32" xfId="0" applyNumberFormat="1" applyFont="1" applyFill="1" applyBorder="1" applyAlignment="1">
      <alignment horizontal="center" vertical="center"/>
    </xf>
    <xf numFmtId="216" fontId="153" fillId="14" borderId="341" xfId="0" quotePrefix="1" applyNumberFormat="1" applyFont="1" applyFill="1" applyBorder="1" applyAlignment="1">
      <alignment horizontal="center" vertical="center"/>
    </xf>
    <xf numFmtId="166" fontId="153" fillId="14" borderId="170" xfId="2" applyNumberFormat="1" applyFont="1" applyFill="1" applyBorder="1" applyAlignment="1" applyProtection="1">
      <alignment horizontal="center" vertical="center"/>
    </xf>
    <xf numFmtId="169" fontId="187" fillId="6" borderId="356" xfId="0" applyNumberFormat="1" applyFont="1" applyFill="1" applyBorder="1" applyAlignment="1" applyProtection="1">
      <alignment horizontal="center" vertical="center"/>
      <protection locked="0"/>
    </xf>
    <xf numFmtId="210" fontId="187" fillId="6" borderId="355" xfId="0" applyNumberFormat="1" applyFont="1" applyFill="1" applyBorder="1" applyAlignment="1" applyProtection="1">
      <alignment vertical="center"/>
      <protection locked="0"/>
    </xf>
    <xf numFmtId="165" fontId="172" fillId="6" borderId="174" xfId="0" applyNumberFormat="1" applyFont="1" applyFill="1" applyBorder="1" applyAlignment="1">
      <alignment horizontal="center" vertical="center"/>
    </xf>
    <xf numFmtId="164" fontId="206" fillId="0" borderId="245" xfId="0" applyFont="1" applyBorder="1" applyAlignment="1">
      <alignment vertical="center"/>
    </xf>
    <xf numFmtId="164" fontId="206" fillId="0" borderId="0" xfId="0" applyFont="1" applyAlignment="1">
      <alignment vertical="center"/>
    </xf>
    <xf numFmtId="4" fontId="206" fillId="0" borderId="292" xfId="0" applyNumberFormat="1" applyFont="1" applyBorder="1" applyAlignment="1" applyProtection="1">
      <alignment vertical="center"/>
      <protection locked="0"/>
    </xf>
    <xf numFmtId="4" fontId="206" fillId="0" borderId="361" xfId="0" applyNumberFormat="1" applyFont="1" applyBorder="1" applyAlignment="1" applyProtection="1">
      <alignment vertical="center"/>
      <protection locked="0"/>
    </xf>
    <xf numFmtId="210" fontId="197" fillId="0" borderId="343" xfId="0" applyNumberFormat="1" applyFont="1" applyBorder="1" applyAlignment="1" applyProtection="1">
      <alignment horizontal="left" vertical="center"/>
      <protection locked="0"/>
    </xf>
    <xf numFmtId="164" fontId="197" fillId="0" borderId="343" xfId="0" applyFont="1" applyBorder="1" applyAlignment="1">
      <alignment vertical="center"/>
    </xf>
    <xf numFmtId="170" fontId="198" fillId="33" borderId="175" xfId="0" applyNumberFormat="1" applyFont="1" applyFill="1" applyBorder="1" applyAlignment="1">
      <alignment horizontal="center" vertical="center"/>
    </xf>
    <xf numFmtId="215" fontId="199" fillId="33" borderId="169" xfId="0" applyNumberFormat="1" applyFont="1" applyFill="1" applyBorder="1" applyAlignment="1">
      <alignment vertical="center"/>
    </xf>
    <xf numFmtId="215" fontId="198" fillId="33" borderId="70" xfId="0" applyNumberFormat="1" applyFont="1" applyFill="1" applyBorder="1" applyAlignment="1">
      <alignment horizontal="right" vertical="center"/>
    </xf>
    <xf numFmtId="210" fontId="24" fillId="33" borderId="169" xfId="0" applyNumberFormat="1" applyFont="1" applyFill="1" applyBorder="1" applyAlignment="1">
      <alignment horizontal="right" vertical="center"/>
    </xf>
    <xf numFmtId="210" fontId="24" fillId="33" borderId="362" xfId="0" applyNumberFormat="1" applyFont="1" applyFill="1" applyBorder="1" applyAlignment="1">
      <alignment horizontal="right" vertical="center"/>
    </xf>
    <xf numFmtId="210" fontId="200" fillId="22" borderId="215" xfId="2" applyNumberFormat="1" applyFont="1" applyFill="1" applyBorder="1" applyAlignment="1" applyProtection="1">
      <alignment horizontal="right" vertical="center"/>
    </xf>
    <xf numFmtId="166" fontId="209" fillId="17" borderId="249" xfId="0" quotePrefix="1" applyNumberFormat="1" applyFont="1" applyFill="1" applyBorder="1" applyAlignment="1">
      <alignment horizontal="center" vertical="center"/>
    </xf>
    <xf numFmtId="164" fontId="192" fillId="17" borderId="208" xfId="0" applyFont="1" applyFill="1" applyBorder="1" applyAlignment="1">
      <alignment horizontal="center" vertical="center"/>
    </xf>
    <xf numFmtId="164" fontId="203" fillId="17" borderId="208" xfId="0" quotePrefix="1" applyFont="1" applyFill="1" applyBorder="1"/>
    <xf numFmtId="164" fontId="203" fillId="17" borderId="208" xfId="0" quotePrefix="1" applyFont="1" applyFill="1" applyBorder="1" applyAlignment="1">
      <alignment horizontal="center"/>
    </xf>
    <xf numFmtId="1" fontId="82" fillId="17" borderId="243" xfId="0" applyNumberFormat="1" applyFont="1" applyFill="1" applyBorder="1" applyAlignment="1">
      <alignment horizontal="center" vertical="center"/>
    </xf>
    <xf numFmtId="1" fontId="82" fillId="17" borderId="208" xfId="0" applyNumberFormat="1" applyFont="1" applyFill="1" applyBorder="1" applyAlignment="1">
      <alignment horizontal="right" vertical="center"/>
    </xf>
    <xf numFmtId="170" fontId="155" fillId="14" borderId="0" xfId="0" quotePrefix="1" applyNumberFormat="1" applyFont="1" applyFill="1" applyAlignment="1">
      <alignment horizontal="right" vertical="center" wrapText="1"/>
    </xf>
    <xf numFmtId="164" fontId="263" fillId="17" borderId="208" xfId="0" applyFont="1" applyFill="1" applyBorder="1" applyAlignment="1">
      <alignment horizontal="left" vertical="center"/>
    </xf>
    <xf numFmtId="177" fontId="155" fillId="17" borderId="208" xfId="0" applyNumberFormat="1" applyFont="1" applyFill="1" applyBorder="1" applyAlignment="1">
      <alignment horizontal="right" vertical="center" wrapText="1"/>
    </xf>
    <xf numFmtId="49" fontId="155" fillId="17" borderId="208" xfId="0" quotePrefix="1" applyNumberFormat="1" applyFont="1" applyFill="1" applyBorder="1" applyAlignment="1">
      <alignment horizontal="center" vertical="center"/>
    </xf>
    <xf numFmtId="8" fontId="155" fillId="31" borderId="208" xfId="0" applyNumberFormat="1" applyFont="1" applyFill="1" applyBorder="1" applyAlignment="1">
      <alignment horizontal="center" vertical="center"/>
    </xf>
    <xf numFmtId="173" fontId="266" fillId="14" borderId="0" xfId="0" applyNumberFormat="1" applyFont="1" applyFill="1" applyAlignment="1">
      <alignment horizontal="right" vertical="top"/>
    </xf>
    <xf numFmtId="8" fontId="266" fillId="14" borderId="0" xfId="0" applyNumberFormat="1" applyFont="1" applyFill="1" applyAlignment="1">
      <alignment horizontal="right" vertical="top"/>
    </xf>
    <xf numFmtId="173" fontId="155" fillId="14" borderId="247" xfId="0" applyNumberFormat="1" applyFont="1" applyFill="1" applyBorder="1" applyAlignment="1">
      <alignment horizontal="right" vertical="top"/>
    </xf>
    <xf numFmtId="1" fontId="155" fillId="14" borderId="0" xfId="0" quotePrefix="1" applyNumberFormat="1" applyFont="1" applyFill="1" applyAlignment="1">
      <alignment horizontal="left" vertical="top" wrapText="1"/>
    </xf>
    <xf numFmtId="1" fontId="155" fillId="14" borderId="0" xfId="0" quotePrefix="1" applyNumberFormat="1" applyFont="1" applyFill="1" applyAlignment="1">
      <alignment horizontal="right" vertical="center" wrapText="1"/>
    </xf>
    <xf numFmtId="173" fontId="155" fillId="17" borderId="208" xfId="0" applyNumberFormat="1" applyFont="1" applyFill="1" applyBorder="1" applyAlignment="1">
      <alignment vertical="center"/>
    </xf>
    <xf numFmtId="8" fontId="155" fillId="31" borderId="360" xfId="0" applyNumberFormat="1" applyFont="1" applyFill="1" applyBorder="1" applyAlignment="1">
      <alignment horizontal="center" vertical="center"/>
    </xf>
    <xf numFmtId="176" fontId="98" fillId="17" borderId="120" xfId="0" quotePrefix="1" applyNumberFormat="1" applyFont="1" applyFill="1" applyBorder="1" applyAlignment="1">
      <alignment horizontal="center" vertical="center"/>
    </xf>
    <xf numFmtId="169" fontId="18" fillId="17" borderId="227" xfId="0" applyNumberFormat="1" applyFont="1" applyFill="1" applyBorder="1" applyAlignment="1">
      <alignment horizontal="center" vertical="center"/>
    </xf>
    <xf numFmtId="0" fontId="80" fillId="17" borderId="202" xfId="0" applyNumberFormat="1" applyFont="1" applyFill="1" applyBorder="1" applyAlignment="1">
      <alignment horizontal="right" vertical="center"/>
    </xf>
    <xf numFmtId="1" fontId="18" fillId="17" borderId="204" xfId="2" quotePrefix="1" applyNumberFormat="1" applyFont="1" applyFill="1" applyBorder="1" applyAlignment="1" applyProtection="1">
      <alignment horizontal="center" vertical="center"/>
    </xf>
    <xf numFmtId="166" fontId="19" fillId="17" borderId="253" xfId="2" applyNumberFormat="1" applyFont="1" applyFill="1" applyBorder="1" applyAlignment="1" applyProtection="1">
      <alignment horizontal="center" vertical="center"/>
    </xf>
    <xf numFmtId="166" fontId="78" fillId="17" borderId="254" xfId="0" applyNumberFormat="1" applyFont="1" applyFill="1" applyBorder="1" applyAlignment="1">
      <alignment vertical="center"/>
    </xf>
    <xf numFmtId="0" fontId="180" fillId="17" borderId="208" xfId="2" applyNumberFormat="1" applyFont="1" applyFill="1" applyBorder="1" applyAlignment="1" applyProtection="1">
      <alignment horizontal="center" vertical="center"/>
    </xf>
    <xf numFmtId="0" fontId="180" fillId="17" borderId="258" xfId="2" applyNumberFormat="1" applyFont="1" applyFill="1" applyBorder="1" applyAlignment="1" applyProtection="1">
      <alignment horizontal="center" vertical="center"/>
    </xf>
    <xf numFmtId="176" fontId="98" fillId="17" borderId="32" xfId="0" quotePrefix="1" applyNumberFormat="1" applyFont="1" applyFill="1" applyBorder="1" applyAlignment="1">
      <alignment horizontal="center" vertical="center"/>
    </xf>
    <xf numFmtId="166" fontId="19" fillId="17" borderId="266" xfId="0" applyNumberFormat="1" applyFont="1" applyFill="1" applyBorder="1" applyAlignment="1">
      <alignment vertical="center"/>
    </xf>
    <xf numFmtId="176" fontId="98" fillId="17" borderId="69" xfId="0" quotePrefix="1" applyNumberFormat="1" applyFont="1" applyFill="1" applyBorder="1" applyAlignment="1">
      <alignment horizontal="center" vertical="center"/>
    </xf>
    <xf numFmtId="0" fontId="80" fillId="17" borderId="263" xfId="0" quotePrefix="1" applyNumberFormat="1" applyFont="1" applyFill="1" applyBorder="1" applyAlignment="1">
      <alignment horizontal="right" vertical="center"/>
    </xf>
    <xf numFmtId="184" fontId="82" fillId="17" borderId="272" xfId="0" applyNumberFormat="1" applyFont="1" applyFill="1" applyBorder="1" applyAlignment="1">
      <alignment horizontal="center" vertical="center"/>
    </xf>
    <xf numFmtId="166" fontId="82" fillId="17" borderId="273" xfId="0" applyNumberFormat="1" applyFont="1" applyFill="1" applyBorder="1" applyAlignment="1">
      <alignment horizontal="center" vertical="center"/>
    </xf>
    <xf numFmtId="210" fontId="225" fillId="17" borderId="353" xfId="0" applyNumberFormat="1" applyFont="1" applyFill="1" applyBorder="1" applyAlignment="1">
      <alignment vertical="center"/>
    </xf>
    <xf numFmtId="169" fontId="226" fillId="17" borderId="262" xfId="0" applyNumberFormat="1" applyFont="1" applyFill="1" applyBorder="1" applyAlignment="1">
      <alignment horizontal="center" vertical="center"/>
    </xf>
    <xf numFmtId="169" fontId="225" fillId="17" borderId="363" xfId="0" applyNumberFormat="1" applyFont="1" applyFill="1" applyBorder="1" applyAlignment="1">
      <alignment horizontal="center" vertical="center"/>
    </xf>
    <xf numFmtId="164" fontId="264" fillId="0" borderId="337" xfId="0" applyFont="1" applyBorder="1" applyAlignment="1">
      <alignment horizontal="center"/>
    </xf>
    <xf numFmtId="0" fontId="264" fillId="0" borderId="104" xfId="0" applyNumberFormat="1" applyFont="1" applyBorder="1" applyAlignment="1">
      <alignment horizontal="center"/>
    </xf>
    <xf numFmtId="0" fontId="264" fillId="0" borderId="217" xfId="0" applyNumberFormat="1" applyFont="1" applyBorder="1" applyAlignment="1">
      <alignment horizontal="center"/>
    </xf>
    <xf numFmtId="4" fontId="155" fillId="0" borderId="256" xfId="0" applyNumberFormat="1" applyFont="1" applyBorder="1" applyAlignment="1">
      <alignment horizontal="left" vertical="center"/>
    </xf>
    <xf numFmtId="0" fontId="155" fillId="0" borderId="336" xfId="0" applyNumberFormat="1" applyFont="1" applyBorder="1" applyAlignment="1">
      <alignment horizontal="left"/>
    </xf>
    <xf numFmtId="0" fontId="155" fillId="0" borderId="338" xfId="2" applyNumberFormat="1" applyFont="1" applyFill="1" applyBorder="1" applyAlignment="1" applyProtection="1">
      <alignment horizontal="left"/>
    </xf>
    <xf numFmtId="0" fontId="155" fillId="0" borderId="257" xfId="2" applyNumberFormat="1" applyFont="1" applyFill="1" applyBorder="1" applyAlignment="1" applyProtection="1">
      <alignment horizontal="left"/>
    </xf>
    <xf numFmtId="179" fontId="155" fillId="0" borderId="249" xfId="0" applyNumberFormat="1" applyFont="1" applyBorder="1"/>
    <xf numFmtId="169" fontId="155" fillId="0" borderId="255" xfId="0" applyNumberFormat="1" applyFont="1" applyBorder="1" applyAlignment="1">
      <alignment horizontal="center"/>
    </xf>
    <xf numFmtId="0" fontId="155" fillId="0" borderId="255" xfId="0" applyNumberFormat="1" applyFont="1" applyBorder="1" applyAlignment="1">
      <alignment horizontal="left"/>
    </xf>
    <xf numFmtId="0" fontId="155" fillId="0" borderId="348" xfId="0" applyNumberFormat="1" applyFont="1" applyBorder="1" applyAlignment="1">
      <alignment horizontal="left"/>
    </xf>
    <xf numFmtId="0" fontId="155" fillId="0" borderId="255" xfId="0" applyNumberFormat="1" applyFont="1" applyBorder="1" applyAlignment="1">
      <alignment horizontal="right"/>
    </xf>
    <xf numFmtId="0" fontId="155" fillId="0" borderId="255" xfId="0" applyNumberFormat="1" applyFont="1" applyBorder="1" applyAlignment="1">
      <alignment horizontal="center"/>
    </xf>
    <xf numFmtId="164" fontId="155" fillId="0" borderId="0" xfId="0" applyFont="1" applyAlignment="1">
      <alignment horizontal="center"/>
    </xf>
    <xf numFmtId="169" fontId="155" fillId="0" borderId="0" xfId="0" applyNumberFormat="1" applyFont="1" applyAlignment="1">
      <alignment horizontal="center"/>
    </xf>
    <xf numFmtId="0" fontId="155" fillId="0" borderId="0" xfId="0" applyNumberFormat="1" applyFont="1" applyAlignment="1">
      <alignment horizontal="left"/>
    </xf>
    <xf numFmtId="0" fontId="155" fillId="0" borderId="0" xfId="0" applyNumberFormat="1" applyFont="1" applyAlignment="1">
      <alignment horizontal="right"/>
    </xf>
    <xf numFmtId="0" fontId="155" fillId="0" borderId="0" xfId="0" applyNumberFormat="1" applyFont="1" applyAlignment="1">
      <alignment horizontal="center"/>
    </xf>
    <xf numFmtId="169" fontId="155" fillId="0" borderId="270" xfId="0" applyNumberFormat="1" applyFont="1" applyBorder="1" applyAlignment="1">
      <alignment horizontal="center" vertical="top"/>
    </xf>
    <xf numFmtId="169" fontId="194" fillId="0" borderId="0" xfId="0" applyNumberFormat="1" applyFont="1" applyAlignment="1">
      <alignment vertical="center" textRotation="90" wrapText="1"/>
    </xf>
    <xf numFmtId="164" fontId="155" fillId="0" borderId="0" xfId="0" applyFont="1" applyAlignment="1">
      <alignment horizontal="center" vertical="center"/>
    </xf>
    <xf numFmtId="166" fontId="49" fillId="0" borderId="0" xfId="0" applyNumberFormat="1" applyFont="1" applyAlignment="1">
      <alignment horizontal="left" vertical="center"/>
    </xf>
    <xf numFmtId="4" fontId="49" fillId="0" borderId="0" xfId="2" applyNumberFormat="1" applyFont="1" applyFill="1" applyBorder="1" applyAlignment="1" applyProtection="1">
      <alignment horizontal="left" vertical="center"/>
    </xf>
    <xf numFmtId="212" fontId="49" fillId="0" borderId="0" xfId="0" applyNumberFormat="1" applyFont="1" applyAlignment="1">
      <alignment horizontal="center" vertical="center"/>
    </xf>
    <xf numFmtId="2" fontId="272" fillId="0" borderId="0" xfId="0" applyNumberFormat="1" applyFont="1" applyAlignment="1">
      <alignment horizontal="center" vertical="center"/>
    </xf>
    <xf numFmtId="164" fontId="155" fillId="0" borderId="0" xfId="0" applyFont="1" applyAlignment="1">
      <alignment horizontal="left" vertical="center"/>
    </xf>
    <xf numFmtId="169" fontId="260" fillId="0" borderId="0" xfId="0" applyNumberFormat="1" applyFont="1" applyAlignment="1">
      <alignment horizontal="center" vertical="top"/>
    </xf>
    <xf numFmtId="164" fontId="155" fillId="0" borderId="0" xfId="0" applyFont="1" applyAlignment="1">
      <alignment horizontal="right" vertical="center"/>
    </xf>
    <xf numFmtId="4" fontId="262" fillId="25" borderId="278" xfId="0" applyNumberFormat="1" applyFont="1" applyFill="1" applyBorder="1" applyAlignment="1">
      <alignment vertical="center"/>
    </xf>
    <xf numFmtId="4" fontId="262" fillId="25" borderId="44" xfId="0" applyNumberFormat="1" applyFont="1" applyFill="1" applyBorder="1" applyAlignment="1">
      <alignment vertical="center"/>
    </xf>
    <xf numFmtId="4" fontId="262" fillId="25" borderId="245" xfId="0" applyNumberFormat="1" applyFont="1" applyFill="1" applyBorder="1" applyAlignment="1">
      <alignment vertical="center"/>
    </xf>
    <xf numFmtId="14" fontId="277" fillId="34" borderId="127" xfId="0" applyNumberFormat="1" applyFont="1" applyFill="1" applyBorder="1" applyAlignment="1">
      <alignment vertical="center"/>
    </xf>
    <xf numFmtId="165" fontId="19" fillId="17" borderId="186" xfId="0" applyNumberFormat="1" applyFont="1" applyFill="1" applyBorder="1" applyAlignment="1">
      <alignment horizontal="center" vertical="center"/>
    </xf>
    <xf numFmtId="165" fontId="19" fillId="17" borderId="306" xfId="0" applyNumberFormat="1" applyFont="1" applyFill="1" applyBorder="1" applyAlignment="1">
      <alignment horizontal="center" vertical="center"/>
    </xf>
    <xf numFmtId="14" fontId="19" fillId="17" borderId="187" xfId="0" applyNumberFormat="1" applyFont="1" applyFill="1" applyBorder="1" applyAlignment="1">
      <alignment horizontal="center" vertical="center"/>
    </xf>
    <xf numFmtId="7" fontId="19" fillId="17" borderId="310" xfId="8" applyNumberFormat="1" applyFont="1" applyFill="1" applyBorder="1" applyAlignment="1" applyProtection="1">
      <alignment horizontal="center" vertical="center"/>
    </xf>
    <xf numFmtId="187" fontId="19" fillId="17" borderId="310" xfId="7" applyNumberFormat="1" applyFont="1" applyFill="1" applyBorder="1" applyAlignment="1" applyProtection="1">
      <alignment horizontal="center" vertical="center"/>
    </xf>
    <xf numFmtId="188" fontId="19" fillId="17" borderId="312" xfId="8" quotePrefix="1" applyNumberFormat="1" applyFont="1" applyFill="1" applyBorder="1" applyAlignment="1" applyProtection="1">
      <alignment horizontal="center" vertical="center"/>
    </xf>
    <xf numFmtId="7" fontId="18" fillId="17" borderId="316" xfId="8" applyNumberFormat="1" applyFont="1" applyFill="1" applyBorder="1" applyAlignment="1" applyProtection="1">
      <alignment vertical="center"/>
    </xf>
    <xf numFmtId="8" fontId="17" fillId="17" borderId="324" xfId="8" applyNumberFormat="1" applyFont="1" applyFill="1" applyBorder="1" applyAlignment="1" applyProtection="1">
      <alignment vertical="center"/>
    </xf>
    <xf numFmtId="201" fontId="80" fillId="17" borderId="328" xfId="0" quotePrefix="1" applyNumberFormat="1" applyFont="1" applyFill="1" applyBorder="1" applyAlignment="1">
      <alignment horizontal="center" vertical="center"/>
    </xf>
    <xf numFmtId="190" fontId="68" fillId="17" borderId="330" xfId="0" applyNumberFormat="1" applyFont="1" applyFill="1" applyBorder="1" applyAlignment="1">
      <alignment horizontal="center" vertical="center"/>
    </xf>
    <xf numFmtId="184" fontId="126" fillId="17" borderId="208" xfId="0" applyNumberFormat="1" applyFont="1" applyFill="1" applyBorder="1" applyAlignment="1">
      <alignment horizontal="center" vertical="center"/>
    </xf>
    <xf numFmtId="7" fontId="21" fillId="0" borderId="0" xfId="8" applyNumberFormat="1" applyFont="1" applyFill="1" applyBorder="1" applyAlignment="1" applyProtection="1">
      <alignment vertical="center"/>
    </xf>
    <xf numFmtId="164" fontId="155" fillId="15" borderId="0" xfId="0" applyFont="1" applyFill="1" applyAlignment="1">
      <alignment horizontal="center" vertical="center"/>
    </xf>
    <xf numFmtId="164" fontId="155" fillId="15" borderId="0" xfId="0" applyFont="1" applyFill="1" applyAlignment="1">
      <alignment vertical="center"/>
    </xf>
    <xf numFmtId="164" fontId="155" fillId="15" borderId="0" xfId="0" applyFont="1" applyFill="1" applyAlignment="1">
      <alignment horizontal="left" vertical="center"/>
    </xf>
    <xf numFmtId="164" fontId="155" fillId="25" borderId="0" xfId="0" applyFont="1" applyFill="1" applyAlignment="1">
      <alignment vertical="center"/>
    </xf>
    <xf numFmtId="164" fontId="155" fillId="25" borderId="0" xfId="0" applyFont="1" applyFill="1" applyAlignment="1">
      <alignment horizontal="center" vertical="center"/>
    </xf>
    <xf numFmtId="169" fontId="18" fillId="29" borderId="105" xfId="0" applyNumberFormat="1" applyFont="1" applyFill="1" applyBorder="1" applyAlignment="1" applyProtection="1">
      <alignment horizontal="center" vertical="center"/>
      <protection locked="0"/>
    </xf>
    <xf numFmtId="0" fontId="80" fillId="29" borderId="75" xfId="0" applyNumberFormat="1" applyFont="1" applyFill="1" applyBorder="1" applyAlignment="1" applyProtection="1">
      <alignment horizontal="right" vertical="center"/>
      <protection locked="0"/>
    </xf>
    <xf numFmtId="1" fontId="18" fillId="29" borderId="76" xfId="2" quotePrefix="1" applyNumberFormat="1" applyFont="1" applyFill="1" applyBorder="1" applyAlignment="1" applyProtection="1">
      <alignment horizontal="center" vertical="center"/>
      <protection locked="0"/>
    </xf>
    <xf numFmtId="166" fontId="106" fillId="29" borderId="77" xfId="2" applyNumberFormat="1" applyFill="1" applyBorder="1" applyAlignment="1" applyProtection="1">
      <alignment horizontal="center" vertical="center"/>
      <protection locked="0"/>
    </xf>
    <xf numFmtId="165" fontId="282" fillId="29" borderId="74" xfId="0" applyNumberFormat="1" applyFont="1" applyFill="1" applyBorder="1" applyAlignment="1" applyProtection="1">
      <alignment vertical="center"/>
      <protection locked="0"/>
    </xf>
    <xf numFmtId="210" fontId="282" fillId="29" borderId="78" xfId="0" applyNumberFormat="1" applyFont="1" applyFill="1" applyBorder="1" applyAlignment="1" applyProtection="1">
      <alignment vertical="center"/>
      <protection locked="0"/>
    </xf>
    <xf numFmtId="169" fontId="282" fillId="29" borderId="105" xfId="0" applyNumberFormat="1" applyFont="1" applyFill="1" applyBorder="1" applyAlignment="1" applyProtection="1">
      <alignment horizontal="center" vertical="center"/>
      <protection locked="0"/>
    </xf>
    <xf numFmtId="210" fontId="126" fillId="29" borderId="74" xfId="0" applyNumberFormat="1" applyFont="1" applyFill="1" applyBorder="1" applyAlignment="1" applyProtection="1">
      <alignment vertical="center"/>
      <protection locked="0"/>
    </xf>
    <xf numFmtId="49" fontId="184" fillId="14" borderId="182" xfId="0" quotePrefix="1" applyNumberFormat="1" applyFont="1" applyFill="1" applyBorder="1" applyAlignment="1" applyProtection="1">
      <alignment horizontal="left" vertical="center"/>
      <protection locked="0"/>
    </xf>
    <xf numFmtId="166" fontId="177" fillId="14" borderId="5" xfId="0" applyNumberFormat="1" applyFont="1" applyFill="1" applyBorder="1" applyAlignment="1">
      <alignment vertical="center" textRotation="90"/>
    </xf>
    <xf numFmtId="166" fontId="177" fillId="14" borderId="177" xfId="0" applyNumberFormat="1" applyFont="1" applyFill="1" applyBorder="1" applyAlignment="1">
      <alignment vertical="center" textRotation="90"/>
    </xf>
    <xf numFmtId="222" fontId="31" fillId="14" borderId="0" xfId="0" applyNumberFormat="1" applyFont="1" applyFill="1" applyAlignment="1">
      <alignment horizontal="right" vertical="center"/>
    </xf>
    <xf numFmtId="1" fontId="18" fillId="0" borderId="367" xfId="2" quotePrefix="1" applyNumberFormat="1" applyFont="1" applyFill="1" applyBorder="1" applyAlignment="1" applyProtection="1">
      <alignment horizontal="center" vertical="center"/>
      <protection locked="0"/>
    </xf>
    <xf numFmtId="166" fontId="126" fillId="26" borderId="78" xfId="0" applyNumberFormat="1" applyFont="1" applyFill="1" applyBorder="1" applyAlignment="1" applyProtection="1">
      <alignment vertical="center"/>
      <protection locked="0"/>
    </xf>
    <xf numFmtId="177" fontId="283" fillId="14" borderId="114" xfId="0" applyNumberFormat="1" applyFont="1" applyFill="1" applyBorder="1" applyAlignment="1" applyProtection="1">
      <alignment horizontal="right" vertical="center"/>
      <protection locked="0"/>
    </xf>
    <xf numFmtId="4" fontId="204" fillId="0" borderId="264" xfId="2" quotePrefix="1" applyNumberFormat="1" applyFont="1" applyFill="1" applyBorder="1" applyAlignment="1" applyProtection="1">
      <alignment horizontal="right" vertical="center"/>
      <protection locked="0"/>
    </xf>
    <xf numFmtId="14" fontId="99" fillId="6" borderId="344" xfId="0" applyNumberFormat="1" applyFont="1" applyFill="1" applyBorder="1" applyAlignment="1">
      <alignment horizontal="center" vertical="center"/>
    </xf>
    <xf numFmtId="169" fontId="78" fillId="25" borderId="369" xfId="0" applyNumberFormat="1" applyFont="1" applyFill="1" applyBorder="1" applyAlignment="1" applyProtection="1">
      <alignment horizontal="center" vertical="center"/>
      <protection locked="0"/>
    </xf>
    <xf numFmtId="14" fontId="197" fillId="6" borderId="351" xfId="0" applyNumberFormat="1" applyFont="1" applyFill="1" applyBorder="1" applyAlignment="1">
      <alignment horizontal="center" vertical="center"/>
    </xf>
    <xf numFmtId="216" fontId="18" fillId="14" borderId="370" xfId="0" quotePrefix="1" applyNumberFormat="1" applyFont="1" applyFill="1" applyBorder="1" applyAlignment="1">
      <alignment horizontal="center" vertical="center"/>
    </xf>
    <xf numFmtId="179" fontId="99" fillId="6" borderId="252" xfId="0" applyNumberFormat="1" applyFont="1" applyFill="1" applyBorder="1" applyAlignment="1">
      <alignment horizontal="center" vertical="center"/>
    </xf>
    <xf numFmtId="179" fontId="99" fillId="6" borderId="376" xfId="0" applyNumberFormat="1" applyFont="1" applyFill="1" applyBorder="1" applyAlignment="1">
      <alignment horizontal="center" vertical="center"/>
    </xf>
    <xf numFmtId="166" fontId="78" fillId="25" borderId="372" xfId="0" applyNumberFormat="1" applyFont="1" applyFill="1" applyBorder="1" applyAlignment="1" applyProtection="1">
      <alignment horizontal="right" vertical="center"/>
      <protection locked="0"/>
    </xf>
    <xf numFmtId="166" fontId="78" fillId="25" borderId="377" xfId="0" applyNumberFormat="1" applyFont="1" applyFill="1" applyBorder="1" applyAlignment="1" applyProtection="1">
      <alignment horizontal="right" vertical="center"/>
      <protection locked="0"/>
    </xf>
    <xf numFmtId="166" fontId="78" fillId="25" borderId="378" xfId="0" applyNumberFormat="1" applyFont="1" applyFill="1" applyBorder="1" applyAlignment="1" applyProtection="1">
      <alignment horizontal="right" vertical="center"/>
      <protection locked="0"/>
    </xf>
    <xf numFmtId="210" fontId="284" fillId="6" borderId="17" xfId="0" applyNumberFormat="1" applyFont="1" applyFill="1" applyBorder="1" applyAlignment="1">
      <alignment horizontal="center" vertical="center"/>
    </xf>
    <xf numFmtId="165" fontId="172" fillId="6" borderId="169" xfId="0" applyNumberFormat="1" applyFont="1" applyFill="1" applyBorder="1" applyAlignment="1">
      <alignment horizontal="center" vertical="center"/>
    </xf>
    <xf numFmtId="224" fontId="18" fillId="14" borderId="45" xfId="0" quotePrefix="1" applyNumberFormat="1" applyFont="1" applyFill="1" applyBorder="1" applyAlignment="1">
      <alignment horizontal="center" vertical="center"/>
    </xf>
    <xf numFmtId="225" fontId="18" fillId="14" borderId="379" xfId="0" quotePrefix="1" applyNumberFormat="1" applyFont="1" applyFill="1" applyBorder="1" applyAlignment="1">
      <alignment horizontal="center" vertical="center"/>
    </xf>
    <xf numFmtId="226" fontId="18" fillId="14" borderId="379" xfId="0" quotePrefix="1" applyNumberFormat="1" applyFont="1" applyFill="1" applyBorder="1" applyAlignment="1">
      <alignment horizontal="center" vertical="center"/>
    </xf>
    <xf numFmtId="227" fontId="18" fillId="14" borderId="379" xfId="0" quotePrefix="1" applyNumberFormat="1" applyFont="1" applyFill="1" applyBorder="1" applyAlignment="1">
      <alignment horizontal="center" vertical="center"/>
    </xf>
    <xf numFmtId="228" fontId="18" fillId="14" borderId="379" xfId="0" quotePrefix="1" applyNumberFormat="1" applyFont="1" applyFill="1" applyBorder="1" applyAlignment="1">
      <alignment horizontal="center" vertical="center"/>
    </xf>
    <xf numFmtId="229" fontId="18" fillId="14" borderId="379" xfId="0" quotePrefix="1" applyNumberFormat="1" applyFont="1" applyFill="1" applyBorder="1" applyAlignment="1">
      <alignment horizontal="center" vertical="center"/>
    </xf>
    <xf numFmtId="230" fontId="18" fillId="14" borderId="379" xfId="0" quotePrefix="1" applyNumberFormat="1" applyFont="1" applyFill="1" applyBorder="1" applyAlignment="1">
      <alignment horizontal="center" vertical="center"/>
    </xf>
    <xf numFmtId="231" fontId="18" fillId="14" borderId="379" xfId="0" quotePrefix="1" applyNumberFormat="1" applyFont="1" applyFill="1" applyBorder="1" applyAlignment="1">
      <alignment horizontal="center" vertical="center"/>
    </xf>
    <xf numFmtId="232" fontId="18" fillId="14" borderId="379" xfId="0" quotePrefix="1" applyNumberFormat="1" applyFont="1" applyFill="1" applyBorder="1" applyAlignment="1">
      <alignment horizontal="center" vertical="center"/>
    </xf>
    <xf numFmtId="233" fontId="18" fillId="14" borderId="379" xfId="0" quotePrefix="1" applyNumberFormat="1" applyFont="1" applyFill="1" applyBorder="1" applyAlignment="1">
      <alignment horizontal="center" vertical="center"/>
    </xf>
    <xf numFmtId="234" fontId="18" fillId="14" borderId="379" xfId="0" quotePrefix="1" applyNumberFormat="1" applyFont="1" applyFill="1" applyBorder="1" applyAlignment="1">
      <alignment horizontal="center" vertical="center"/>
    </xf>
    <xf numFmtId="235" fontId="18" fillId="14" borderId="379" xfId="0" quotePrefix="1" applyNumberFormat="1" applyFont="1" applyFill="1" applyBorder="1" applyAlignment="1">
      <alignment horizontal="center" vertical="center"/>
    </xf>
    <xf numFmtId="210" fontId="146" fillId="24" borderId="170" xfId="2" applyNumberFormat="1" applyFont="1" applyFill="1" applyBorder="1" applyAlignment="1" applyProtection="1">
      <alignment horizontal="right" vertical="center"/>
    </xf>
    <xf numFmtId="166" fontId="78" fillId="25" borderId="373" xfId="0" applyNumberFormat="1" applyFont="1" applyFill="1" applyBorder="1" applyAlignment="1" applyProtection="1">
      <alignment horizontal="center" vertical="center"/>
      <protection locked="0"/>
    </xf>
    <xf numFmtId="166" fontId="78" fillId="25" borderId="374" xfId="0" applyNumberFormat="1" applyFont="1" applyFill="1" applyBorder="1" applyAlignment="1" applyProtection="1">
      <alignment horizontal="center" vertical="center"/>
      <protection locked="0"/>
    </xf>
    <xf numFmtId="166" fontId="78" fillId="25" borderId="375" xfId="0" applyNumberFormat="1" applyFont="1" applyFill="1" applyBorder="1" applyAlignment="1" applyProtection="1">
      <alignment horizontal="center" vertical="center"/>
      <protection locked="0"/>
    </xf>
    <xf numFmtId="165" fontId="126" fillId="29" borderId="381" xfId="0" applyNumberFormat="1" applyFont="1" applyFill="1" applyBorder="1" applyAlignment="1">
      <alignment horizontal="center" vertical="center"/>
    </xf>
    <xf numFmtId="165" fontId="126" fillId="29" borderId="382" xfId="0" applyNumberFormat="1" applyFont="1" applyFill="1" applyBorder="1" applyAlignment="1">
      <alignment horizontal="center" vertical="center"/>
    </xf>
    <xf numFmtId="165" fontId="197" fillId="6" borderId="174" xfId="0" applyNumberFormat="1" applyFont="1" applyFill="1" applyBorder="1" applyAlignment="1">
      <alignment horizontal="center" vertical="center"/>
    </xf>
    <xf numFmtId="210" fontId="146" fillId="6" borderId="170" xfId="2" applyNumberFormat="1" applyFont="1" applyFill="1" applyBorder="1" applyAlignment="1" applyProtection="1">
      <alignment horizontal="right" vertical="center"/>
    </xf>
    <xf numFmtId="216" fontId="42" fillId="14" borderId="371" xfId="0" quotePrefix="1" applyNumberFormat="1" applyFont="1" applyFill="1" applyBorder="1" applyAlignment="1">
      <alignment horizontal="center" vertical="center"/>
    </xf>
    <xf numFmtId="224" fontId="42" fillId="6" borderId="380" xfId="0" quotePrefix="1" applyNumberFormat="1" applyFont="1" applyFill="1" applyBorder="1" applyAlignment="1">
      <alignment horizontal="center" vertical="center"/>
    </xf>
    <xf numFmtId="4" fontId="18" fillId="24" borderId="110" xfId="0" applyNumberFormat="1" applyFont="1" applyFill="1" applyBorder="1" applyAlignment="1">
      <alignment vertical="center"/>
    </xf>
    <xf numFmtId="4" fontId="19" fillId="8" borderId="124" xfId="2" applyNumberFormat="1" applyFont="1" applyFill="1" applyBorder="1" applyAlignment="1" applyProtection="1">
      <alignment horizontal="center" vertical="center"/>
    </xf>
    <xf numFmtId="4" fontId="18" fillId="8" borderId="110" xfId="0" applyNumberFormat="1" applyFont="1" applyFill="1" applyBorder="1" applyAlignment="1">
      <alignment vertical="center"/>
    </xf>
    <xf numFmtId="4" fontId="146" fillId="0" borderId="18" xfId="0" applyNumberFormat="1" applyFont="1" applyBorder="1" applyAlignment="1">
      <alignment vertical="center"/>
    </xf>
    <xf numFmtId="4" fontId="204" fillId="0" borderId="0" xfId="0" applyNumberFormat="1" applyFont="1" applyAlignment="1">
      <alignment vertical="center"/>
    </xf>
    <xf numFmtId="4" fontId="42" fillId="0" borderId="128" xfId="0" applyNumberFormat="1" applyFont="1" applyBorder="1" applyAlignment="1">
      <alignment vertical="center"/>
    </xf>
    <xf numFmtId="4" fontId="89" fillId="0" borderId="125" xfId="0" applyNumberFormat="1" applyFont="1" applyBorder="1" applyAlignment="1">
      <alignment vertical="center"/>
    </xf>
    <xf numFmtId="4" fontId="42" fillId="0" borderId="145" xfId="0" applyNumberFormat="1" applyFont="1" applyBorder="1" applyAlignment="1">
      <alignment vertical="center"/>
    </xf>
    <xf numFmtId="4" fontId="89" fillId="0" borderId="139" xfId="0" applyNumberFormat="1" applyFont="1" applyBorder="1" applyAlignment="1">
      <alignment vertical="center"/>
    </xf>
    <xf numFmtId="4" fontId="288" fillId="35" borderId="124" xfId="2" applyNumberFormat="1" applyFont="1" applyFill="1" applyBorder="1" applyAlignment="1" applyProtection="1">
      <alignment horizontal="center" vertical="center"/>
    </xf>
    <xf numFmtId="4" fontId="288" fillId="38" borderId="162" xfId="0" applyNumberFormat="1" applyFont="1" applyFill="1" applyBorder="1" applyAlignment="1">
      <alignment vertical="center"/>
    </xf>
    <xf numFmtId="164" fontId="289" fillId="0" borderId="0" xfId="0" applyFont="1" applyAlignment="1">
      <alignment vertical="center"/>
    </xf>
    <xf numFmtId="4" fontId="288" fillId="0" borderId="128" xfId="0" applyNumberFormat="1" applyFont="1" applyBorder="1" applyAlignment="1">
      <alignment vertical="center"/>
    </xf>
    <xf numFmtId="4" fontId="290" fillId="0" borderId="125" xfId="0" applyNumberFormat="1" applyFont="1" applyBorder="1" applyAlignment="1">
      <alignment vertical="center"/>
    </xf>
    <xf numFmtId="164" fontId="157" fillId="6" borderId="5" xfId="0" applyFont="1" applyFill="1" applyBorder="1" applyAlignment="1">
      <alignment horizontal="right" vertical="center"/>
    </xf>
    <xf numFmtId="3" fontId="157" fillId="6" borderId="5" xfId="0" applyNumberFormat="1" applyFont="1" applyFill="1" applyBorder="1" applyAlignment="1">
      <alignment horizontal="right" vertical="center"/>
    </xf>
    <xf numFmtId="174" fontId="194" fillId="6" borderId="387" xfId="0" applyNumberFormat="1" applyFont="1" applyFill="1" applyBorder="1" applyAlignment="1">
      <alignment horizontal="center" vertical="center"/>
    </xf>
    <xf numFmtId="164" fontId="157" fillId="6" borderId="386" xfId="0" applyFont="1" applyFill="1" applyBorder="1" applyAlignment="1">
      <alignment horizontal="right" vertical="center"/>
    </xf>
    <xf numFmtId="173" fontId="105" fillId="22" borderId="388" xfId="0" applyNumberFormat="1" applyFont="1" applyFill="1" applyBorder="1" applyAlignment="1" applyProtection="1">
      <alignment horizontal="left" vertical="center"/>
      <protection locked="0"/>
    </xf>
    <xf numFmtId="166" fontId="92" fillId="22" borderId="128" xfId="0" applyNumberFormat="1" applyFont="1" applyFill="1" applyBorder="1" applyAlignment="1">
      <alignment horizontal="right" vertical="center"/>
    </xf>
    <xf numFmtId="192" fontId="46" fillId="22" borderId="388" xfId="0" applyNumberFormat="1" applyFont="1" applyFill="1" applyBorder="1" applyAlignment="1">
      <alignment horizontal="right" vertical="center"/>
    </xf>
    <xf numFmtId="164" fontId="14" fillId="22" borderId="128" xfId="0" applyFont="1" applyFill="1" applyBorder="1" applyAlignment="1">
      <alignment horizontal="right" vertical="center"/>
    </xf>
    <xf numFmtId="192" fontId="14" fillId="22" borderId="388" xfId="0" applyNumberFormat="1" applyFont="1" applyFill="1" applyBorder="1" applyAlignment="1">
      <alignment vertical="center"/>
    </xf>
    <xf numFmtId="166" fontId="92" fillId="22" borderId="276" xfId="0" applyNumberFormat="1" applyFont="1" applyFill="1" applyBorder="1" applyAlignment="1">
      <alignment horizontal="right" vertical="center"/>
    </xf>
    <xf numFmtId="192" fontId="46" fillId="22" borderId="380" xfId="0" applyNumberFormat="1" applyFont="1" applyFill="1" applyBorder="1" applyAlignment="1" applyProtection="1">
      <alignment horizontal="right" vertical="center"/>
      <protection locked="0"/>
    </xf>
    <xf numFmtId="173" fontId="105" fillId="22" borderId="389" xfId="0" applyNumberFormat="1" applyFont="1" applyFill="1" applyBorder="1" applyAlignment="1" applyProtection="1">
      <alignment horizontal="left" vertical="center"/>
      <protection locked="0"/>
    </xf>
    <xf numFmtId="183" fontId="131" fillId="22" borderId="276" xfId="7" applyNumberFormat="1" applyFont="1" applyFill="1" applyBorder="1" applyAlignment="1" applyProtection="1">
      <alignment horizontal="right" vertical="center"/>
    </xf>
    <xf numFmtId="192" fontId="132" fillId="22" borderId="380" xfId="0" applyNumberFormat="1" applyFont="1" applyFill="1" applyBorder="1" applyAlignment="1">
      <alignment horizontal="right" vertical="center"/>
    </xf>
    <xf numFmtId="165" fontId="126" fillId="6" borderId="383" xfId="0" applyNumberFormat="1" applyFont="1" applyFill="1" applyBorder="1" applyAlignment="1">
      <alignment horizontal="center" vertical="center"/>
    </xf>
    <xf numFmtId="164" fontId="192" fillId="17" borderId="104" xfId="0" applyFont="1" applyFill="1" applyBorder="1" applyAlignment="1" applyProtection="1">
      <alignment horizontal="center" vertical="center"/>
      <protection locked="0"/>
    </xf>
    <xf numFmtId="165" fontId="18" fillId="0" borderId="365" xfId="0" applyNumberFormat="1" applyFont="1" applyBorder="1" applyAlignment="1" applyProtection="1">
      <alignment vertical="center"/>
      <protection locked="0"/>
    </xf>
    <xf numFmtId="166" fontId="78" fillId="0" borderId="368" xfId="0" applyNumberFormat="1" applyFont="1" applyBorder="1" applyAlignment="1" applyProtection="1">
      <alignment vertical="center"/>
      <protection locked="0"/>
    </xf>
    <xf numFmtId="175" fontId="42" fillId="0" borderId="366" xfId="0" applyNumberFormat="1" applyFont="1" applyBorder="1" applyAlignment="1" applyProtection="1">
      <alignment horizontal="center" vertical="center"/>
      <protection locked="0"/>
    </xf>
    <xf numFmtId="1" fontId="15" fillId="0" borderId="76" xfId="9" quotePrefix="1" applyNumberFormat="1" applyFont="1" applyFill="1" applyBorder="1" applyAlignment="1" applyProtection="1">
      <alignment horizontal="center" vertical="center"/>
      <protection locked="0"/>
    </xf>
    <xf numFmtId="165" fontId="18" fillId="0" borderId="4" xfId="0" applyNumberFormat="1" applyFont="1" applyBorder="1" applyAlignment="1" applyProtection="1">
      <alignment vertical="center"/>
      <protection locked="0"/>
    </xf>
    <xf numFmtId="165" fontId="18" fillId="0" borderId="44" xfId="0" applyNumberFormat="1" applyFont="1" applyBorder="1" applyAlignment="1" applyProtection="1">
      <alignment vertical="center"/>
      <protection locked="0"/>
    </xf>
    <xf numFmtId="0" fontId="112" fillId="0" borderId="6" xfId="0" quotePrefix="1" applyNumberFormat="1" applyFont="1" applyBorder="1" applyAlignment="1" applyProtection="1">
      <alignment vertical="center"/>
      <protection locked="0"/>
    </xf>
    <xf numFmtId="166" fontId="106" fillId="0" borderId="11" xfId="2" applyNumberFormat="1" applyFill="1" applyBorder="1" applyAlignment="1" applyProtection="1">
      <alignment horizontal="center" vertical="center"/>
      <protection locked="0"/>
    </xf>
    <xf numFmtId="166" fontId="104" fillId="0" borderId="7" xfId="0" applyNumberFormat="1" applyFont="1" applyBorder="1" applyAlignment="1" applyProtection="1">
      <alignment vertical="center"/>
      <protection locked="0"/>
    </xf>
    <xf numFmtId="166" fontId="78" fillId="0" borderId="43" xfId="0" applyNumberFormat="1" applyFont="1" applyBorder="1" applyAlignment="1" applyProtection="1">
      <alignment horizontal="right" vertical="center"/>
      <protection locked="0"/>
    </xf>
    <xf numFmtId="210" fontId="200" fillId="22" borderId="222" xfId="2" applyNumberFormat="1" applyFont="1" applyFill="1" applyBorder="1" applyAlignment="1" applyProtection="1">
      <alignment horizontal="right" vertical="center"/>
    </xf>
    <xf numFmtId="1" fontId="106" fillId="0" borderId="76" xfId="2" quotePrefix="1" applyNumberFormat="1" applyFill="1" applyBorder="1" applyAlignment="1" applyProtection="1">
      <alignment horizontal="center" vertical="center"/>
      <protection locked="0"/>
    </xf>
    <xf numFmtId="166" fontId="106" fillId="0" borderId="77" xfId="9" applyNumberFormat="1" applyFont="1" applyFill="1" applyBorder="1" applyAlignment="1" applyProtection="1">
      <alignment horizontal="center" vertical="center"/>
      <protection locked="0"/>
    </xf>
    <xf numFmtId="172" fontId="181" fillId="5" borderId="332" xfId="0" applyNumberFormat="1" applyFont="1" applyFill="1" applyBorder="1" applyAlignment="1">
      <alignment vertical="center"/>
    </xf>
    <xf numFmtId="242" fontId="291" fillId="5" borderId="332" xfId="2" quotePrefix="1" applyNumberFormat="1" applyFont="1" applyFill="1" applyBorder="1" applyAlignment="1" applyProtection="1">
      <alignment horizontal="center" vertical="center"/>
    </xf>
    <xf numFmtId="164" fontId="292" fillId="14" borderId="197" xfId="0" applyFont="1" applyFill="1" applyBorder="1" applyAlignment="1">
      <alignment horizontal="center" vertical="center"/>
    </xf>
    <xf numFmtId="169" fontId="62" fillId="14" borderId="198" xfId="0" applyNumberFormat="1" applyFont="1" applyFill="1" applyBorder="1" applyAlignment="1">
      <alignment horizontal="left" vertical="center"/>
    </xf>
    <xf numFmtId="165" fontId="146" fillId="14" borderId="391" xfId="0" applyNumberFormat="1" applyFont="1" applyFill="1" applyBorder="1" applyAlignment="1" applyProtection="1">
      <alignment horizontal="center" vertical="center"/>
      <protection locked="0"/>
    </xf>
    <xf numFmtId="165" fontId="146" fillId="14" borderId="392" xfId="0" applyNumberFormat="1" applyFont="1" applyFill="1" applyBorder="1" applyAlignment="1" applyProtection="1">
      <alignment horizontal="center" vertical="center"/>
      <protection locked="0"/>
    </xf>
    <xf numFmtId="165" fontId="146" fillId="14" borderId="393" xfId="0" applyNumberFormat="1" applyFont="1" applyFill="1" applyBorder="1" applyAlignment="1" applyProtection="1">
      <alignment horizontal="center" vertical="center"/>
      <protection locked="0"/>
    </xf>
    <xf numFmtId="164" fontId="292" fillId="0" borderId="394" xfId="0" applyFont="1" applyBorder="1" applyAlignment="1">
      <alignment horizontal="center" vertical="center"/>
    </xf>
    <xf numFmtId="169" fontId="62" fillId="7" borderId="395" xfId="0" applyNumberFormat="1" applyFont="1" applyFill="1" applyBorder="1" applyAlignment="1">
      <alignment horizontal="left" vertical="center"/>
    </xf>
    <xf numFmtId="165" fontId="19" fillId="17" borderId="396" xfId="2" applyNumberFormat="1" applyFont="1" applyFill="1" applyBorder="1" applyAlignment="1" applyProtection="1">
      <alignment horizontal="center" vertical="center"/>
      <protection locked="0"/>
    </xf>
    <xf numFmtId="165" fontId="19" fillId="17" borderId="397" xfId="2" applyNumberFormat="1" applyFont="1" applyFill="1" applyBorder="1" applyAlignment="1" applyProtection="1">
      <alignment horizontal="center" vertical="center"/>
      <protection locked="0"/>
    </xf>
    <xf numFmtId="165" fontId="19" fillId="17" borderId="397" xfId="0" applyNumberFormat="1" applyFont="1" applyFill="1" applyBorder="1" applyAlignment="1" applyProtection="1">
      <alignment horizontal="center" vertical="center"/>
      <protection locked="0"/>
    </xf>
    <xf numFmtId="165" fontId="19" fillId="17" borderId="398" xfId="0" applyNumberFormat="1" applyFont="1" applyFill="1" applyBorder="1" applyAlignment="1" applyProtection="1">
      <alignment horizontal="center" vertical="center"/>
      <protection locked="0"/>
    </xf>
    <xf numFmtId="164" fontId="292" fillId="0" borderId="399" xfId="0" applyFont="1" applyBorder="1" applyAlignment="1">
      <alignment horizontal="center" vertical="center"/>
    </xf>
    <xf numFmtId="169" fontId="62" fillId="7" borderId="400" xfId="0" applyNumberFormat="1" applyFont="1" applyFill="1" applyBorder="1" applyAlignment="1">
      <alignment horizontal="left" vertical="center"/>
    </xf>
    <xf numFmtId="165" fontId="19" fillId="17" borderId="401" xfId="2" applyNumberFormat="1" applyFont="1" applyFill="1" applyBorder="1" applyAlignment="1" applyProtection="1">
      <alignment horizontal="center" vertical="center"/>
      <protection locked="0"/>
    </xf>
    <xf numFmtId="165" fontId="19" fillId="17" borderId="402" xfId="2" applyNumberFormat="1" applyFont="1" applyFill="1" applyBorder="1" applyAlignment="1" applyProtection="1">
      <alignment horizontal="center" vertical="center"/>
      <protection locked="0"/>
    </xf>
    <xf numFmtId="165" fontId="19" fillId="17" borderId="402" xfId="0" applyNumberFormat="1" applyFont="1" applyFill="1" applyBorder="1" applyAlignment="1" applyProtection="1">
      <alignment horizontal="center" vertical="center"/>
      <protection locked="0"/>
    </xf>
    <xf numFmtId="165" fontId="19" fillId="17" borderId="403" xfId="0" applyNumberFormat="1" applyFont="1" applyFill="1" applyBorder="1" applyAlignment="1" applyProtection="1">
      <alignment horizontal="center" vertical="center"/>
      <protection locked="0"/>
    </xf>
    <xf numFmtId="14" fontId="19" fillId="17" borderId="401" xfId="2" applyNumberFormat="1" applyFont="1" applyFill="1" applyBorder="1" applyAlignment="1" applyProtection="1">
      <alignment horizontal="center" vertical="center"/>
      <protection locked="0"/>
    </xf>
    <xf numFmtId="14" fontId="19" fillId="17" borderId="402" xfId="2" applyNumberFormat="1" applyFont="1" applyFill="1" applyBorder="1" applyAlignment="1" applyProtection="1">
      <alignment horizontal="center" vertical="center"/>
      <protection locked="0"/>
    </xf>
    <xf numFmtId="14" fontId="19" fillId="17" borderId="402" xfId="0" applyNumberFormat="1" applyFont="1" applyFill="1" applyBorder="1" applyAlignment="1" applyProtection="1">
      <alignment horizontal="center" vertical="center"/>
      <protection locked="0"/>
    </xf>
    <xf numFmtId="14" fontId="19" fillId="17" borderId="403" xfId="0" applyNumberFormat="1" applyFont="1" applyFill="1" applyBorder="1" applyAlignment="1" applyProtection="1">
      <alignment horizontal="center" vertical="center"/>
      <protection locked="0"/>
    </xf>
    <xf numFmtId="7" fontId="19" fillId="17" borderId="401" xfId="2" applyNumberFormat="1" applyFont="1" applyFill="1" applyBorder="1" applyAlignment="1" applyProtection="1">
      <alignment horizontal="center" vertical="center"/>
      <protection locked="0"/>
    </xf>
    <xf numFmtId="7" fontId="19" fillId="17" borderId="402" xfId="2" applyNumberFormat="1" applyFont="1" applyFill="1" applyBorder="1" applyAlignment="1" applyProtection="1">
      <alignment horizontal="center" vertical="center"/>
      <protection locked="0"/>
    </xf>
    <xf numFmtId="7" fontId="19" fillId="17" borderId="402" xfId="8" applyNumberFormat="1" applyFont="1" applyFill="1" applyBorder="1" applyAlignment="1" applyProtection="1">
      <alignment horizontal="center" vertical="center"/>
      <protection locked="0"/>
    </xf>
    <xf numFmtId="7" fontId="19" fillId="17" borderId="403" xfId="8" applyNumberFormat="1" applyFont="1" applyFill="1" applyBorder="1" applyAlignment="1" applyProtection="1">
      <alignment horizontal="center" vertical="center"/>
      <protection locked="0"/>
    </xf>
    <xf numFmtId="169" fontId="62" fillId="7" borderId="400" xfId="0" quotePrefix="1" applyNumberFormat="1" applyFont="1" applyFill="1" applyBorder="1" applyAlignment="1">
      <alignment horizontal="left" vertical="center"/>
    </xf>
    <xf numFmtId="5" fontId="19" fillId="17" borderId="401" xfId="2" applyNumberFormat="1" applyFont="1" applyFill="1" applyBorder="1" applyAlignment="1" applyProtection="1">
      <alignment horizontal="center" vertical="center"/>
      <protection locked="0"/>
    </xf>
    <xf numFmtId="5" fontId="19" fillId="17" borderId="402" xfId="2" applyNumberFormat="1" applyFont="1" applyFill="1" applyBorder="1" applyAlignment="1" applyProtection="1">
      <alignment horizontal="center" vertical="center"/>
      <protection locked="0"/>
    </xf>
    <xf numFmtId="187" fontId="19" fillId="17" borderId="401" xfId="2" applyNumberFormat="1" applyFont="1" applyFill="1" applyBorder="1" applyAlignment="1" applyProtection="1">
      <alignment horizontal="center" vertical="center"/>
      <protection locked="0"/>
    </xf>
    <xf numFmtId="187" fontId="19" fillId="17" borderId="402" xfId="2" applyNumberFormat="1" applyFont="1" applyFill="1" applyBorder="1" applyAlignment="1" applyProtection="1">
      <alignment horizontal="center" vertical="center"/>
      <protection locked="0"/>
    </xf>
    <xf numFmtId="187" fontId="19" fillId="17" borderId="402" xfId="7" applyNumberFormat="1" applyFont="1" applyFill="1" applyBorder="1" applyAlignment="1" applyProtection="1">
      <alignment horizontal="center" vertical="center"/>
      <protection locked="0"/>
    </xf>
    <xf numFmtId="187" fontId="19" fillId="17" borderId="403" xfId="7" applyNumberFormat="1" applyFont="1" applyFill="1" applyBorder="1" applyAlignment="1" applyProtection="1">
      <alignment horizontal="center" vertical="center"/>
      <protection locked="0"/>
    </xf>
    <xf numFmtId="164" fontId="292" fillId="0" borderId="404" xfId="0" applyFont="1" applyBorder="1" applyAlignment="1">
      <alignment horizontal="center" vertical="center"/>
    </xf>
    <xf numFmtId="169" fontId="62" fillId="0" borderId="405" xfId="0" applyNumberFormat="1" applyFont="1" applyBorder="1" applyAlignment="1">
      <alignment horizontal="left" vertical="center"/>
    </xf>
    <xf numFmtId="188" fontId="19" fillId="17" borderId="406" xfId="2" quotePrefix="1" applyNumberFormat="1" applyFont="1" applyFill="1" applyBorder="1" applyAlignment="1" applyProtection="1">
      <alignment horizontal="center" vertical="center"/>
      <protection locked="0"/>
    </xf>
    <xf numFmtId="188" fontId="19" fillId="17" borderId="407" xfId="2" quotePrefix="1" applyNumberFormat="1" applyFont="1" applyFill="1" applyBorder="1" applyAlignment="1" applyProtection="1">
      <alignment horizontal="center" vertical="center"/>
      <protection locked="0"/>
    </xf>
    <xf numFmtId="188" fontId="19" fillId="17" borderId="407" xfId="8" quotePrefix="1" applyNumberFormat="1" applyFont="1" applyFill="1" applyBorder="1" applyAlignment="1" applyProtection="1">
      <alignment horizontal="center" vertical="center"/>
      <protection locked="0"/>
    </xf>
    <xf numFmtId="188" fontId="19" fillId="17" borderId="408" xfId="8" quotePrefix="1" applyNumberFormat="1" applyFont="1" applyFill="1" applyBorder="1" applyAlignment="1" applyProtection="1">
      <alignment horizontal="center" vertical="center"/>
      <protection locked="0"/>
    </xf>
    <xf numFmtId="169" fontId="62" fillId="14" borderId="197" xfId="0" applyNumberFormat="1" applyFont="1" applyFill="1" applyBorder="1" applyAlignment="1">
      <alignment vertical="center"/>
    </xf>
    <xf numFmtId="169" fontId="62" fillId="14" borderId="200" xfId="0" applyNumberFormat="1" applyFont="1" applyFill="1" applyBorder="1" applyAlignment="1">
      <alignment vertical="center"/>
    </xf>
    <xf numFmtId="5" fontId="62" fillId="14" borderId="391" xfId="8" applyNumberFormat="1" applyFont="1" applyFill="1" applyBorder="1" applyAlignment="1" applyProtection="1">
      <alignment horizontal="center" vertical="center"/>
    </xf>
    <xf numFmtId="5" fontId="62" fillId="14" borderId="392" xfId="8" applyNumberFormat="1" applyFont="1" applyFill="1" applyBorder="1" applyAlignment="1" applyProtection="1">
      <alignment horizontal="center" vertical="center"/>
    </xf>
    <xf numFmtId="5" fontId="62" fillId="14" borderId="393" xfId="8" applyNumberFormat="1" applyFont="1" applyFill="1" applyBorder="1" applyAlignment="1" applyProtection="1">
      <alignment horizontal="center" vertical="center"/>
    </xf>
    <xf numFmtId="164" fontId="292" fillId="14" borderId="190" xfId="0" applyFont="1" applyFill="1" applyBorder="1" applyAlignment="1">
      <alignment horizontal="center" vertical="center"/>
    </xf>
    <xf numFmtId="169" fontId="18" fillId="14" borderId="332" xfId="0" applyNumberFormat="1" applyFont="1" applyFill="1" applyBorder="1" applyAlignment="1">
      <alignment horizontal="left" vertical="center"/>
    </xf>
    <xf numFmtId="5" fontId="18" fillId="17" borderId="409" xfId="2" applyNumberFormat="1" applyFont="1" applyFill="1" applyBorder="1" applyAlignment="1" applyProtection="1">
      <alignment horizontal="center" vertical="center"/>
      <protection locked="0"/>
    </xf>
    <xf numFmtId="5" fontId="18" fillId="17" borderId="410" xfId="2" applyNumberFormat="1" applyFont="1" applyFill="1" applyBorder="1" applyAlignment="1" applyProtection="1">
      <alignment horizontal="center" vertical="center"/>
      <protection locked="0"/>
    </xf>
    <xf numFmtId="5" fontId="18" fillId="17" borderId="410" xfId="8" applyNumberFormat="1" applyFont="1" applyFill="1" applyBorder="1" applyAlignment="1" applyProtection="1">
      <alignment horizontal="center" vertical="center"/>
      <protection locked="0"/>
    </xf>
    <xf numFmtId="5" fontId="18" fillId="17" borderId="411" xfId="8" applyNumberFormat="1" applyFont="1" applyFill="1" applyBorder="1" applyAlignment="1" applyProtection="1">
      <alignment horizontal="center" vertical="center"/>
      <protection locked="0"/>
    </xf>
    <xf numFmtId="164" fontId="292" fillId="0" borderId="190" xfId="0" applyFont="1" applyBorder="1" applyAlignment="1">
      <alignment horizontal="center" vertical="center"/>
    </xf>
    <xf numFmtId="165" fontId="19" fillId="0" borderId="332" xfId="0" applyNumberFormat="1" applyFont="1" applyBorder="1" applyAlignment="1">
      <alignment horizontal="left" vertical="center"/>
    </xf>
    <xf numFmtId="190" fontId="68" fillId="17" borderId="409" xfId="2" applyNumberFormat="1" applyFont="1" applyFill="1" applyBorder="1" applyAlignment="1" applyProtection="1">
      <alignment horizontal="center" vertical="center"/>
      <protection locked="0"/>
    </xf>
    <xf numFmtId="190" fontId="68" fillId="17" borderId="410" xfId="2" applyNumberFormat="1" applyFont="1" applyFill="1" applyBorder="1" applyAlignment="1" applyProtection="1">
      <alignment horizontal="center" vertical="center"/>
      <protection locked="0"/>
    </xf>
    <xf numFmtId="190" fontId="68" fillId="17" borderId="410" xfId="0" applyNumberFormat="1" applyFont="1" applyFill="1" applyBorder="1" applyAlignment="1" applyProtection="1">
      <alignment horizontal="center" vertical="center"/>
      <protection locked="0"/>
    </xf>
    <xf numFmtId="190" fontId="68" fillId="17" borderId="411" xfId="0" applyNumberFormat="1" applyFont="1" applyFill="1" applyBorder="1" applyAlignment="1" applyProtection="1">
      <alignment horizontal="center" vertical="center"/>
      <protection locked="0"/>
    </xf>
    <xf numFmtId="164" fontId="94" fillId="14" borderId="197" xfId="0" applyFont="1" applyFill="1" applyBorder="1" applyAlignment="1">
      <alignment horizontal="center" vertical="center"/>
    </xf>
    <xf numFmtId="243" fontId="62" fillId="14" borderId="198" xfId="0" applyNumberFormat="1" applyFont="1" applyFill="1" applyBorder="1" applyAlignment="1">
      <alignment horizontal="left" vertical="center"/>
    </xf>
    <xf numFmtId="5" fontId="62" fillId="14" borderId="391" xfId="2" applyNumberFormat="1" applyFont="1" applyFill="1" applyBorder="1" applyAlignment="1" applyProtection="1">
      <alignment horizontal="center" vertical="center"/>
    </xf>
    <xf numFmtId="5" fontId="62" fillId="14" borderId="392" xfId="2" applyNumberFormat="1" applyFont="1" applyFill="1" applyBorder="1" applyAlignment="1" applyProtection="1">
      <alignment horizontal="center" vertical="center"/>
    </xf>
    <xf numFmtId="5" fontId="62" fillId="14" borderId="393" xfId="2" applyNumberFormat="1" applyFont="1" applyFill="1" applyBorder="1" applyAlignment="1" applyProtection="1">
      <alignment horizontal="center" vertical="center"/>
    </xf>
    <xf numFmtId="244" fontId="129" fillId="0" borderId="412" xfId="0" applyNumberFormat="1" applyFont="1" applyBorder="1" applyAlignment="1">
      <alignment horizontal="center" vertical="center"/>
    </xf>
    <xf numFmtId="14" fontId="15" fillId="0" borderId="412" xfId="0" applyNumberFormat="1" applyFont="1" applyBorder="1" applyAlignment="1">
      <alignment horizontal="left" vertical="center"/>
    </xf>
    <xf numFmtId="245" fontId="15" fillId="0" borderId="412" xfId="0" applyNumberFormat="1" applyFont="1" applyBorder="1" applyAlignment="1">
      <alignment horizontal="center" vertical="center"/>
    </xf>
    <xf numFmtId="164" fontId="15" fillId="0" borderId="0" xfId="0" applyFont="1" applyAlignment="1">
      <alignment vertical="center"/>
    </xf>
    <xf numFmtId="6" fontId="62" fillId="14" borderId="406" xfId="8" applyNumberFormat="1" applyFont="1" applyFill="1" applyBorder="1" applyAlignment="1" applyProtection="1">
      <alignment vertical="center"/>
    </xf>
    <xf numFmtId="6" fontId="62" fillId="14" borderId="407" xfId="8" applyNumberFormat="1" applyFont="1" applyFill="1" applyBorder="1" applyAlignment="1" applyProtection="1">
      <alignment vertical="center"/>
    </xf>
    <xf numFmtId="6" fontId="62" fillId="14" borderId="408" xfId="8" applyNumberFormat="1" applyFont="1" applyFill="1" applyBorder="1" applyAlignment="1" applyProtection="1">
      <alignment vertical="center"/>
    </xf>
    <xf numFmtId="164" fontId="86" fillId="0" borderId="415" xfId="0" applyFont="1" applyBorder="1" applyAlignment="1">
      <alignment horizontal="center" vertical="center"/>
    </xf>
    <xf numFmtId="246" fontId="62" fillId="0" borderId="416" xfId="0" applyNumberFormat="1" applyFont="1" applyBorder="1" applyAlignment="1">
      <alignment horizontal="left" vertical="center"/>
    </xf>
    <xf numFmtId="5" fontId="62" fillId="22" borderId="417" xfId="8" applyNumberFormat="1" applyFont="1" applyFill="1" applyBorder="1" applyAlignment="1" applyProtection="1">
      <alignment vertical="center"/>
    </xf>
    <xf numFmtId="5" fontId="62" fillId="22" borderId="418" xfId="8" applyNumberFormat="1" applyFont="1" applyFill="1" applyBorder="1" applyAlignment="1" applyProtection="1">
      <alignment vertical="center"/>
    </xf>
    <xf numFmtId="5" fontId="62" fillId="22" borderId="419" xfId="8" applyNumberFormat="1" applyFont="1" applyFill="1" applyBorder="1" applyAlignment="1" applyProtection="1">
      <alignment vertical="center"/>
    </xf>
    <xf numFmtId="164" fontId="86" fillId="0" borderId="394" xfId="0" applyFont="1" applyBorder="1" applyAlignment="1">
      <alignment horizontal="center" vertical="center"/>
    </xf>
    <xf numFmtId="247" fontId="62" fillId="0" borderId="420" xfId="0" applyNumberFormat="1" applyFont="1" applyBorder="1" applyAlignment="1">
      <alignment horizontal="left" vertical="center"/>
    </xf>
    <xf numFmtId="5" fontId="62" fillId="22" borderId="401" xfId="8" applyNumberFormat="1" applyFont="1" applyFill="1" applyBorder="1" applyAlignment="1" applyProtection="1">
      <alignment vertical="center"/>
    </xf>
    <xf numFmtId="5" fontId="62" fillId="22" borderId="402" xfId="8" applyNumberFormat="1" applyFont="1" applyFill="1" applyBorder="1" applyAlignment="1" applyProtection="1">
      <alignment vertical="center"/>
    </xf>
    <xf numFmtId="5" fontId="62" fillId="22" borderId="403" xfId="8" applyNumberFormat="1" applyFont="1" applyFill="1" applyBorder="1" applyAlignment="1" applyProtection="1">
      <alignment vertical="center"/>
    </xf>
    <xf numFmtId="189" fontId="94" fillId="0" borderId="399" xfId="0" applyNumberFormat="1" applyFont="1" applyBorder="1" applyAlignment="1">
      <alignment vertical="center"/>
    </xf>
    <xf numFmtId="248" fontId="62" fillId="0" borderId="421" xfId="0" applyNumberFormat="1" applyFont="1" applyBorder="1" applyAlignment="1">
      <alignment horizontal="left" vertical="center"/>
    </xf>
    <xf numFmtId="169" fontId="42" fillId="7" borderId="395" xfId="0" applyNumberFormat="1" applyFont="1" applyFill="1" applyBorder="1" applyAlignment="1">
      <alignment horizontal="left" vertical="center"/>
    </xf>
    <xf numFmtId="5" fontId="42" fillId="17" borderId="417" xfId="2" applyNumberFormat="1" applyFont="1" applyFill="1" applyBorder="1" applyAlignment="1" applyProtection="1">
      <alignment vertical="center"/>
      <protection locked="0"/>
    </xf>
    <xf numFmtId="5" fontId="42" fillId="17" borderId="418" xfId="2" applyNumberFormat="1" applyFont="1" applyFill="1" applyBorder="1" applyAlignment="1" applyProtection="1">
      <alignment vertical="center"/>
      <protection locked="0"/>
    </xf>
    <xf numFmtId="5" fontId="42" fillId="17" borderId="418" xfId="8" applyNumberFormat="1" applyFont="1" applyFill="1" applyBorder="1" applyAlignment="1" applyProtection="1">
      <alignment vertical="center"/>
      <protection locked="0"/>
    </xf>
    <xf numFmtId="5" fontId="42" fillId="17" borderId="419" xfId="8" applyNumberFormat="1" applyFont="1" applyFill="1" applyBorder="1" applyAlignment="1" applyProtection="1">
      <alignment vertical="center"/>
      <protection locked="0"/>
    </xf>
    <xf numFmtId="164" fontId="292" fillId="0" borderId="197" xfId="0" applyFont="1" applyBorder="1" applyAlignment="1">
      <alignment horizontal="center" vertical="center"/>
    </xf>
    <xf numFmtId="169" fontId="149" fillId="7" borderId="198" xfId="0" applyNumberFormat="1" applyFont="1" applyFill="1" applyBorder="1" applyAlignment="1">
      <alignment horizontal="left" vertical="center"/>
    </xf>
    <xf numFmtId="5" fontId="19" fillId="17" borderId="391" xfId="2" applyNumberFormat="1" applyFont="1" applyFill="1" applyBorder="1" applyAlignment="1" applyProtection="1">
      <alignment vertical="center"/>
      <protection locked="0"/>
    </xf>
    <xf numFmtId="5" fontId="19" fillId="17" borderId="392" xfId="2" applyNumberFormat="1" applyFont="1" applyFill="1" applyBorder="1" applyAlignment="1" applyProtection="1">
      <alignment vertical="center"/>
      <protection locked="0"/>
    </xf>
    <xf numFmtId="5" fontId="19" fillId="17" borderId="392" xfId="8" applyNumberFormat="1" applyFont="1" applyFill="1" applyBorder="1" applyAlignment="1" applyProtection="1">
      <alignment vertical="center"/>
      <protection locked="0"/>
    </xf>
    <xf numFmtId="5" fontId="19" fillId="17" borderId="393" xfId="8" applyNumberFormat="1" applyFont="1" applyFill="1" applyBorder="1" applyAlignment="1" applyProtection="1">
      <alignment vertical="center"/>
      <protection locked="0"/>
    </xf>
    <xf numFmtId="5" fontId="62" fillId="14" borderId="396" xfId="8" applyNumberFormat="1" applyFont="1" applyFill="1" applyBorder="1" applyAlignment="1" applyProtection="1">
      <alignment vertical="center"/>
    </xf>
    <xf numFmtId="5" fontId="62" fillId="14" borderId="397" xfId="8" applyNumberFormat="1" applyFont="1" applyFill="1" applyBorder="1" applyAlignment="1" applyProtection="1">
      <alignment vertical="center"/>
    </xf>
    <xf numFmtId="5" fontId="62" fillId="14" borderId="398" xfId="8" applyNumberFormat="1" applyFont="1" applyFill="1" applyBorder="1" applyAlignment="1" applyProtection="1">
      <alignment vertical="center"/>
    </xf>
    <xf numFmtId="5" fontId="62" fillId="14" borderId="409" xfId="2" applyNumberFormat="1" applyFont="1" applyFill="1" applyBorder="1" applyAlignment="1" applyProtection="1">
      <alignment horizontal="center" vertical="center"/>
    </xf>
    <xf numFmtId="5" fontId="62" fillId="14" borderId="410" xfId="2" applyNumberFormat="1" applyFont="1" applyFill="1" applyBorder="1" applyAlignment="1" applyProtection="1">
      <alignment horizontal="center" vertical="center"/>
    </xf>
    <xf numFmtId="5" fontId="62" fillId="14" borderId="411" xfId="2" applyNumberFormat="1" applyFont="1" applyFill="1" applyBorder="1" applyAlignment="1" applyProtection="1">
      <alignment horizontal="center" vertical="center"/>
    </xf>
    <xf numFmtId="14" fontId="71" fillId="0" borderId="412" xfId="0" applyNumberFormat="1" applyFont="1" applyBorder="1" applyAlignment="1">
      <alignment horizontal="center" vertical="center"/>
    </xf>
    <xf numFmtId="164" fontId="72" fillId="0" borderId="412" xfId="0" applyFont="1" applyBorder="1" applyAlignment="1">
      <alignment vertical="center"/>
    </xf>
    <xf numFmtId="164" fontId="2" fillId="0" borderId="412" xfId="0" applyFont="1" applyBorder="1" applyAlignment="1">
      <alignment horizontal="center" vertical="center"/>
    </xf>
    <xf numFmtId="168" fontId="73" fillId="0" borderId="412" xfId="0" applyNumberFormat="1" applyFont="1" applyBorder="1" applyAlignment="1">
      <alignment horizontal="center" vertical="center"/>
    </xf>
    <xf numFmtId="168" fontId="74" fillId="0" borderId="412" xfId="0" applyNumberFormat="1" applyFont="1" applyBorder="1" applyAlignment="1">
      <alignment vertical="center"/>
    </xf>
    <xf numFmtId="168" fontId="75" fillId="0" borderId="412" xfId="0" applyNumberFormat="1" applyFont="1" applyBorder="1" applyAlignment="1">
      <alignment vertical="center"/>
    </xf>
    <xf numFmtId="4" fontId="294" fillId="0" borderId="0" xfId="0" applyNumberFormat="1" applyFont="1" applyAlignment="1">
      <alignment vertical="center"/>
    </xf>
    <xf numFmtId="164" fontId="296" fillId="0" borderId="0" xfId="0" applyFont="1" applyAlignment="1">
      <alignment horizontal="center"/>
    </xf>
    <xf numFmtId="164" fontId="294" fillId="0" borderId="0" xfId="0" applyFont="1" applyAlignment="1">
      <alignment vertical="center"/>
    </xf>
    <xf numFmtId="164" fontId="244" fillId="31" borderId="190" xfId="0" applyFont="1" applyFill="1" applyBorder="1" applyAlignment="1">
      <alignment horizontal="center" vertical="center"/>
    </xf>
    <xf numFmtId="249" fontId="164" fillId="31" borderId="332" xfId="0" applyNumberFormat="1" applyFont="1" applyFill="1" applyBorder="1" applyAlignment="1">
      <alignment horizontal="left" vertical="center"/>
    </xf>
    <xf numFmtId="5" fontId="297" fillId="31" borderId="409" xfId="2" applyNumberFormat="1" applyFont="1" applyFill="1" applyBorder="1" applyAlignment="1" applyProtection="1">
      <alignment horizontal="center" vertical="center"/>
    </xf>
    <xf numFmtId="5" fontId="297" fillId="31" borderId="410" xfId="2" applyNumberFormat="1" applyFont="1" applyFill="1" applyBorder="1" applyAlignment="1" applyProtection="1">
      <alignment horizontal="center" vertical="center"/>
    </xf>
    <xf numFmtId="5" fontId="297" fillId="31" borderId="423" xfId="2" applyNumberFormat="1" applyFont="1" applyFill="1" applyBorder="1" applyAlignment="1" applyProtection="1">
      <alignment horizontal="center" vertical="center"/>
    </xf>
    <xf numFmtId="165" fontId="19" fillId="14" borderId="394" xfId="0" applyNumberFormat="1" applyFont="1" applyFill="1" applyBorder="1" applyAlignment="1">
      <alignment horizontal="right" vertical="center"/>
    </xf>
    <xf numFmtId="250" fontId="62" fillId="14" borderId="395" xfId="0" applyNumberFormat="1" applyFont="1" applyFill="1" applyBorder="1" applyAlignment="1">
      <alignment horizontal="left" vertical="center"/>
    </xf>
    <xf numFmtId="5" fontId="62" fillId="14" borderId="417" xfId="0" applyNumberFormat="1" applyFont="1" applyFill="1" applyBorder="1" applyAlignment="1">
      <alignment horizontal="center" vertical="center"/>
    </xf>
    <xf numFmtId="5" fontId="62" fillId="14" borderId="418" xfId="0" applyNumberFormat="1" applyFont="1" applyFill="1" applyBorder="1" applyAlignment="1">
      <alignment horizontal="center" vertical="center"/>
    </xf>
    <xf numFmtId="5" fontId="62" fillId="14" borderId="419" xfId="0" applyNumberFormat="1" applyFont="1" applyFill="1" applyBorder="1" applyAlignment="1">
      <alignment horizontal="center" vertical="center"/>
    </xf>
    <xf numFmtId="250" fontId="62" fillId="14" borderId="405" xfId="0" applyNumberFormat="1" applyFont="1" applyFill="1" applyBorder="1" applyAlignment="1">
      <alignment horizontal="left" vertical="center"/>
    </xf>
    <xf numFmtId="5" fontId="62" fillId="14" borderId="406" xfId="0" applyNumberFormat="1" applyFont="1" applyFill="1" applyBorder="1" applyAlignment="1">
      <alignment horizontal="center" vertical="center"/>
    </xf>
    <xf numFmtId="5" fontId="62" fillId="14" borderId="407" xfId="0" applyNumberFormat="1" applyFont="1" applyFill="1" applyBorder="1" applyAlignment="1">
      <alignment horizontal="center" vertical="center"/>
    </xf>
    <xf numFmtId="5" fontId="62" fillId="14" borderId="408" xfId="0" applyNumberFormat="1" applyFont="1" applyFill="1" applyBorder="1" applyAlignment="1">
      <alignment horizontal="center" vertical="center"/>
    </xf>
    <xf numFmtId="5" fontId="299" fillId="5" borderId="190" xfId="0" applyNumberFormat="1" applyFont="1" applyFill="1" applyBorder="1" applyAlignment="1">
      <alignment horizontal="right" vertical="center"/>
    </xf>
    <xf numFmtId="166" fontId="163" fillId="5" borderId="332" xfId="0" applyNumberFormat="1" applyFont="1" applyFill="1" applyBorder="1" applyAlignment="1">
      <alignment horizontal="left" vertical="center"/>
    </xf>
    <xf numFmtId="175" fontId="300" fillId="5" borderId="333" xfId="0" applyNumberFormat="1" applyFont="1" applyFill="1" applyBorder="1" applyAlignment="1">
      <alignment vertical="center"/>
    </xf>
    <xf numFmtId="250" fontId="62" fillId="29" borderId="395" xfId="0" applyNumberFormat="1" applyFont="1" applyFill="1" applyBorder="1" applyAlignment="1">
      <alignment horizontal="left" vertical="center"/>
    </xf>
    <xf numFmtId="5" fontId="62" fillId="29" borderId="394" xfId="0" applyNumberFormat="1" applyFont="1" applyFill="1" applyBorder="1" applyAlignment="1">
      <alignment horizontal="right" vertical="center"/>
    </xf>
    <xf numFmtId="250" fontId="62" fillId="29" borderId="395" xfId="0" applyNumberFormat="1" applyFont="1" applyFill="1" applyBorder="1" applyAlignment="1">
      <alignment vertical="center"/>
    </xf>
    <xf numFmtId="250" fontId="146" fillId="29" borderId="395" xfId="0" applyNumberFormat="1" applyFont="1" applyFill="1" applyBorder="1" applyAlignment="1">
      <alignment horizontal="center" vertical="center"/>
    </xf>
    <xf numFmtId="250" fontId="108" fillId="29" borderId="420" xfId="0" applyNumberFormat="1" applyFont="1" applyFill="1" applyBorder="1" applyAlignment="1">
      <alignment horizontal="center" vertical="center"/>
    </xf>
    <xf numFmtId="250" fontId="62" fillId="29" borderId="405" xfId="0" applyNumberFormat="1" applyFont="1" applyFill="1" applyBorder="1" applyAlignment="1">
      <alignment horizontal="left" vertical="center"/>
    </xf>
    <xf numFmtId="5" fontId="62" fillId="29" borderId="404" xfId="0" applyNumberFormat="1" applyFont="1" applyFill="1" applyBorder="1" applyAlignment="1">
      <alignment horizontal="right" vertical="center"/>
    </xf>
    <xf numFmtId="250" fontId="62" fillId="29" borderId="405" xfId="0" applyNumberFormat="1" applyFont="1" applyFill="1" applyBorder="1" applyAlignment="1">
      <alignment vertical="center"/>
    </xf>
    <xf numFmtId="250" fontId="146" fillId="29" borderId="405" xfId="0" applyNumberFormat="1" applyFont="1" applyFill="1" applyBorder="1" applyAlignment="1">
      <alignment horizontal="center" vertical="center"/>
    </xf>
    <xf numFmtId="250" fontId="108" fillId="29" borderId="425" xfId="0" applyNumberFormat="1" applyFont="1" applyFill="1" applyBorder="1" applyAlignment="1">
      <alignment horizontal="center" vertical="center"/>
    </xf>
    <xf numFmtId="164" fontId="302" fillId="0" borderId="0" xfId="0" applyFont="1" applyAlignment="1">
      <alignment horizontal="center" vertical="center"/>
    </xf>
    <xf numFmtId="165" fontId="18" fillId="0" borderId="0" xfId="0" applyNumberFormat="1" applyFont="1" applyAlignment="1">
      <alignment horizontal="right" vertical="center"/>
    </xf>
    <xf numFmtId="8" fontId="18" fillId="0" borderId="0" xfId="0" applyNumberFormat="1" applyFont="1" applyAlignment="1">
      <alignment horizontal="right" vertical="center"/>
    </xf>
    <xf numFmtId="166" fontId="62" fillId="0" borderId="0" xfId="0" applyNumberFormat="1" applyFont="1" applyAlignment="1">
      <alignment vertical="center"/>
    </xf>
    <xf numFmtId="166" fontId="108" fillId="0" borderId="0" xfId="0" applyNumberFormat="1" applyFont="1" applyAlignment="1">
      <alignment horizontal="center" vertical="center"/>
    </xf>
    <xf numFmtId="168" fontId="115" fillId="5" borderId="333" xfId="6" applyNumberFormat="1" applyFont="1" applyFill="1" applyBorder="1" applyAlignment="1" applyProtection="1">
      <alignment horizontal="center" vertical="center"/>
      <protection locked="0"/>
    </xf>
    <xf numFmtId="164" fontId="292" fillId="0" borderId="198" xfId="0" applyFont="1" applyBorder="1" applyAlignment="1">
      <alignment horizontal="center"/>
    </xf>
    <xf numFmtId="201" fontId="89" fillId="0" borderId="0" xfId="0" quotePrefix="1" applyNumberFormat="1" applyFont="1" applyAlignment="1">
      <alignment horizontal="left"/>
    </xf>
    <xf numFmtId="201" fontId="89" fillId="0" borderId="0" xfId="0" quotePrefix="1" applyNumberFormat="1" applyFont="1" applyAlignment="1" applyProtection="1">
      <alignment horizontal="center"/>
      <protection locked="0"/>
    </xf>
    <xf numFmtId="166" fontId="18" fillId="0" borderId="78" xfId="0" applyNumberFormat="1" applyFont="1" applyBorder="1" applyAlignment="1" applyProtection="1">
      <alignment vertical="center"/>
      <protection locked="0"/>
    </xf>
    <xf numFmtId="166" fontId="106" fillId="0" borderId="427" xfId="2" applyNumberFormat="1" applyFill="1" applyBorder="1" applyAlignment="1" applyProtection="1">
      <alignment horizontal="center" vertical="center"/>
      <protection locked="0"/>
    </xf>
    <xf numFmtId="166" fontId="106" fillId="29" borderId="427" xfId="2" applyNumberFormat="1" applyFill="1" applyBorder="1" applyAlignment="1" applyProtection="1">
      <alignment horizontal="center" vertical="center"/>
      <protection locked="0"/>
    </xf>
    <xf numFmtId="166" fontId="106" fillId="6" borderId="427" xfId="2" applyNumberFormat="1" applyFill="1" applyBorder="1" applyAlignment="1" applyProtection="1">
      <alignment horizontal="center" vertical="center"/>
      <protection locked="0"/>
    </xf>
    <xf numFmtId="168" fontId="30" fillId="6" borderId="36" xfId="0" applyNumberFormat="1" applyFont="1" applyFill="1" applyBorder="1" applyAlignment="1">
      <alignment horizontal="center" vertical="center"/>
    </xf>
    <xf numFmtId="166" fontId="18" fillId="0" borderId="428" xfId="0" applyNumberFormat="1" applyFont="1" applyBorder="1" applyAlignment="1" applyProtection="1">
      <alignment vertical="center"/>
      <protection locked="0"/>
    </xf>
    <xf numFmtId="166" fontId="282" fillId="29" borderId="428" xfId="0" applyNumberFormat="1" applyFont="1" applyFill="1" applyBorder="1" applyAlignment="1" applyProtection="1">
      <alignment vertical="center"/>
      <protection locked="0"/>
    </xf>
    <xf numFmtId="166" fontId="106" fillId="0" borderId="428" xfId="0" applyNumberFormat="1" applyFont="1" applyBorder="1" applyAlignment="1" applyProtection="1">
      <alignment vertical="center"/>
      <protection locked="0"/>
    </xf>
    <xf numFmtId="166" fontId="106" fillId="6" borderId="428" xfId="0" applyNumberFormat="1" applyFont="1" applyFill="1" applyBorder="1" applyAlignment="1" applyProtection="1">
      <alignment vertical="center"/>
      <protection locked="0"/>
    </xf>
    <xf numFmtId="166" fontId="106" fillId="6" borderId="429" xfId="0" applyNumberFormat="1" applyFont="1" applyFill="1" applyBorder="1" applyAlignment="1" applyProtection="1">
      <alignment vertical="center"/>
      <protection locked="0"/>
    </xf>
    <xf numFmtId="166" fontId="167" fillId="23" borderId="390" xfId="2" applyNumberFormat="1" applyFont="1" applyFill="1" applyBorder="1" applyAlignment="1" applyProtection="1">
      <alignment horizontal="center" vertical="center"/>
      <protection locked="0"/>
    </xf>
    <xf numFmtId="165" fontId="60" fillId="6" borderId="347" xfId="0" applyNumberFormat="1" applyFont="1" applyFill="1" applyBorder="1" applyAlignment="1">
      <alignment horizontal="center" vertical="center"/>
    </xf>
    <xf numFmtId="1" fontId="18" fillId="14" borderId="369" xfId="2" quotePrefix="1" applyNumberFormat="1" applyFont="1" applyFill="1" applyBorder="1" applyAlignment="1" applyProtection="1">
      <alignment horizontal="center" vertical="center"/>
      <protection locked="0"/>
    </xf>
    <xf numFmtId="168" fontId="60" fillId="6" borderId="430" xfId="0" applyNumberFormat="1" applyFont="1" applyFill="1" applyBorder="1" applyAlignment="1">
      <alignment horizontal="center" vertical="center"/>
    </xf>
    <xf numFmtId="166" fontId="106" fillId="0" borderId="426" xfId="2" applyNumberFormat="1" applyFill="1" applyBorder="1" applyAlignment="1" applyProtection="1">
      <alignment horizontal="center" vertical="center"/>
      <protection locked="0"/>
    </xf>
    <xf numFmtId="164" fontId="301" fillId="17" borderId="424" xfId="0" applyFont="1" applyFill="1" applyBorder="1" applyAlignment="1" applyProtection="1">
      <alignment horizontal="center" vertical="center"/>
      <protection locked="0"/>
    </xf>
    <xf numFmtId="5" fontId="62" fillId="14" borderId="396" xfId="0" applyNumberFormat="1" applyFont="1" applyFill="1" applyBorder="1" applyAlignment="1">
      <alignment horizontal="center" vertical="center"/>
    </xf>
    <xf numFmtId="5" fontId="62" fillId="14" borderId="397" xfId="0" applyNumberFormat="1" applyFont="1" applyFill="1" applyBorder="1" applyAlignment="1">
      <alignment horizontal="center" vertical="center"/>
    </xf>
    <xf numFmtId="5" fontId="62" fillId="14" borderId="398" xfId="0" applyNumberFormat="1" applyFont="1" applyFill="1" applyBorder="1" applyAlignment="1">
      <alignment horizontal="center" vertical="center"/>
    </xf>
    <xf numFmtId="250" fontId="146" fillId="29" borderId="395" xfId="0" applyNumberFormat="1" applyFont="1" applyFill="1" applyBorder="1" applyAlignment="1">
      <alignment vertical="center"/>
    </xf>
    <xf numFmtId="250" fontId="146" fillId="29" borderId="405" xfId="0" applyNumberFormat="1" applyFont="1" applyFill="1" applyBorder="1" applyAlignment="1">
      <alignment vertical="center"/>
    </xf>
    <xf numFmtId="166" fontId="303" fillId="5" borderId="332" xfId="0" applyNumberFormat="1" applyFont="1" applyFill="1" applyBorder="1" applyAlignment="1">
      <alignment horizontal="left" vertical="center"/>
    </xf>
    <xf numFmtId="175" fontId="300" fillId="5" borderId="332" xfId="0" applyNumberFormat="1" applyFont="1" applyFill="1" applyBorder="1" applyAlignment="1">
      <alignment vertical="center"/>
    </xf>
    <xf numFmtId="1" fontId="148" fillId="5" borderId="92" xfId="0" applyNumberFormat="1" applyFont="1" applyFill="1" applyBorder="1" applyAlignment="1">
      <alignment horizontal="left" vertical="center"/>
    </xf>
    <xf numFmtId="1" fontId="148" fillId="5" borderId="93" xfId="0" applyNumberFormat="1" applyFont="1" applyFill="1" applyBorder="1" applyAlignment="1">
      <alignment horizontal="left" vertical="center"/>
    </xf>
    <xf numFmtId="1" fontId="148" fillId="5" borderId="179" xfId="0" applyNumberFormat="1" applyFont="1" applyFill="1" applyBorder="1" applyAlignment="1">
      <alignment horizontal="left" vertical="center"/>
    </xf>
    <xf numFmtId="1" fontId="148" fillId="5" borderId="82" xfId="0" applyNumberFormat="1" applyFont="1" applyFill="1" applyBorder="1" applyAlignment="1">
      <alignment horizontal="left" vertical="center"/>
    </xf>
    <xf numFmtId="164" fontId="147" fillId="0" borderId="98" xfId="0" applyFont="1" applyBorder="1" applyAlignment="1">
      <alignment horizontal="left" vertical="center"/>
    </xf>
    <xf numFmtId="164" fontId="147" fillId="0" borderId="179" xfId="0" applyFont="1" applyBorder="1" applyAlignment="1">
      <alignment horizontal="left" vertical="center"/>
    </xf>
    <xf numFmtId="164" fontId="147" fillId="0" borderId="99" xfId="0" applyFont="1" applyBorder="1" applyAlignment="1">
      <alignment horizontal="left" vertical="center"/>
    </xf>
    <xf numFmtId="164" fontId="113" fillId="0" borderId="98" xfId="0" applyFont="1" applyBorder="1" applyAlignment="1">
      <alignment horizontal="left" vertical="center"/>
    </xf>
    <xf numFmtId="164" fontId="113" fillId="0" borderId="179" xfId="0" applyFont="1" applyBorder="1" applyAlignment="1">
      <alignment horizontal="left" vertical="center"/>
    </xf>
    <xf numFmtId="164" fontId="113" fillId="0" borderId="99" xfId="0" applyFont="1" applyBorder="1" applyAlignment="1">
      <alignment horizontal="left" vertical="center"/>
    </xf>
    <xf numFmtId="164" fontId="123" fillId="0" borderId="98" xfId="0" applyFont="1" applyBorder="1" applyAlignment="1">
      <alignment horizontal="left" vertical="center"/>
    </xf>
    <xf numFmtId="164" fontId="123" fillId="0" borderId="179" xfId="0" applyFont="1" applyBorder="1" applyAlignment="1">
      <alignment horizontal="left" vertical="center"/>
    </xf>
    <xf numFmtId="164" fontId="123" fillId="0" borderId="99" xfId="0" applyFont="1" applyBorder="1" applyAlignment="1">
      <alignment horizontal="left" vertical="center"/>
    </xf>
    <xf numFmtId="166" fontId="7" fillId="14" borderId="113" xfId="0" applyNumberFormat="1" applyFont="1" applyFill="1" applyBorder="1" applyAlignment="1">
      <alignment horizontal="center" vertical="center"/>
    </xf>
    <xf numFmtId="166" fontId="7" fillId="14" borderId="19" xfId="0" applyNumberFormat="1" applyFont="1" applyFill="1" applyBorder="1" applyAlignment="1">
      <alignment horizontal="center" vertical="center"/>
    </xf>
    <xf numFmtId="166" fontId="7" fillId="14" borderId="150" xfId="0" applyNumberFormat="1" applyFont="1" applyFill="1" applyBorder="1" applyAlignment="1">
      <alignment horizontal="center" vertical="center"/>
    </xf>
    <xf numFmtId="166" fontId="7" fillId="14" borderId="111" xfId="0" applyNumberFormat="1" applyFont="1" applyFill="1" applyBorder="1" applyAlignment="1">
      <alignment horizontal="center" vertical="center"/>
    </xf>
    <xf numFmtId="173" fontId="11" fillId="14" borderId="0" xfId="0" applyNumberFormat="1" applyFont="1" applyFill="1" applyAlignment="1">
      <alignment horizontal="left" vertical="center"/>
    </xf>
    <xf numFmtId="164" fontId="46" fillId="0" borderId="98" xfId="0" applyFont="1" applyBorder="1" applyAlignment="1">
      <alignment horizontal="left" vertical="center"/>
    </xf>
    <xf numFmtId="164" fontId="46" fillId="0" borderId="179" xfId="0" applyFont="1" applyBorder="1" applyAlignment="1">
      <alignment horizontal="left" vertical="center"/>
    </xf>
    <xf numFmtId="164" fontId="46" fillId="0" borderId="99" xfId="0" applyFont="1" applyBorder="1" applyAlignment="1">
      <alignment horizontal="left" vertical="center"/>
    </xf>
    <xf numFmtId="166" fontId="134" fillId="14" borderId="0" xfId="0" applyNumberFormat="1" applyFont="1" applyFill="1" applyAlignment="1">
      <alignment horizontal="left" vertical="center"/>
    </xf>
    <xf numFmtId="166" fontId="134" fillId="14" borderId="114" xfId="0" quotePrefix="1" applyNumberFormat="1" applyFont="1" applyFill="1" applyBorder="1" applyAlignment="1" applyProtection="1">
      <alignment horizontal="left" vertical="top"/>
      <protection locked="0"/>
    </xf>
    <xf numFmtId="166" fontId="134" fillId="14" borderId="181" xfId="0" quotePrefix="1" applyNumberFormat="1" applyFont="1" applyFill="1" applyBorder="1" applyAlignment="1" applyProtection="1">
      <alignment horizontal="left" vertical="top"/>
      <protection locked="0"/>
    </xf>
    <xf numFmtId="1" fontId="48" fillId="5" borderId="101" xfId="0" applyNumberFormat="1" applyFont="1" applyFill="1" applyBorder="1" applyAlignment="1">
      <alignment horizontal="left" vertical="center"/>
    </xf>
    <xf numFmtId="1" fontId="48" fillId="5" borderId="102" xfId="0" applyNumberFormat="1" applyFont="1" applyFill="1" applyBorder="1" applyAlignment="1">
      <alignment horizontal="left" vertical="center"/>
    </xf>
    <xf numFmtId="1" fontId="48" fillId="5" borderId="179" xfId="0" applyNumberFormat="1" applyFont="1" applyFill="1" applyBorder="1" applyAlignment="1">
      <alignment horizontal="left" vertical="center"/>
    </xf>
    <xf numFmtId="1" fontId="48" fillId="5" borderId="103" xfId="0" applyNumberFormat="1" applyFont="1" applyFill="1" applyBorder="1" applyAlignment="1">
      <alignment horizontal="left" vertical="center"/>
    </xf>
    <xf numFmtId="168" fontId="97" fillId="14" borderId="0" xfId="0" applyNumberFormat="1" applyFont="1" applyFill="1" applyAlignment="1">
      <alignment horizontal="left"/>
    </xf>
    <xf numFmtId="1" fontId="13" fillId="5" borderId="178" xfId="0" applyNumberFormat="1" applyFont="1" applyFill="1" applyBorder="1" applyAlignment="1">
      <alignment horizontal="left" vertical="center"/>
    </xf>
    <xf numFmtId="1" fontId="13" fillId="5" borderId="201" xfId="0" applyNumberFormat="1" applyFont="1" applyFill="1" applyBorder="1" applyAlignment="1">
      <alignment horizontal="left" vertical="center"/>
    </xf>
    <xf numFmtId="1" fontId="13" fillId="5" borderId="27" xfId="0" applyNumberFormat="1" applyFont="1" applyFill="1" applyBorder="1" applyAlignment="1">
      <alignment horizontal="left" vertical="center"/>
    </xf>
    <xf numFmtId="173" fontId="19" fillId="14" borderId="0" xfId="0" applyNumberFormat="1" applyFont="1" applyFill="1" applyAlignment="1">
      <alignment horizontal="left"/>
    </xf>
    <xf numFmtId="8" fontId="114" fillId="14" borderId="19" xfId="0" applyNumberFormat="1" applyFont="1" applyFill="1" applyBorder="1" applyAlignment="1">
      <alignment horizontal="center" vertical="center"/>
    </xf>
    <xf numFmtId="8" fontId="114" fillId="14" borderId="150" xfId="0" applyNumberFormat="1" applyFont="1" applyFill="1" applyBorder="1" applyAlignment="1">
      <alignment horizontal="center" vertical="center"/>
    </xf>
    <xf numFmtId="8" fontId="97" fillId="14" borderId="0" xfId="0" applyNumberFormat="1" applyFont="1" applyFill="1" applyAlignment="1">
      <alignment horizontal="left" indent="13"/>
    </xf>
    <xf numFmtId="164" fontId="10" fillId="15" borderId="101" xfId="0" applyFont="1" applyFill="1" applyBorder="1" applyAlignment="1">
      <alignment horizontal="right" vertical="center"/>
    </xf>
    <xf numFmtId="164" fontId="10" fillId="15" borderId="106" xfId="0" applyFont="1" applyFill="1" applyBorder="1" applyAlignment="1">
      <alignment horizontal="right" vertical="center"/>
    </xf>
    <xf numFmtId="164" fontId="10" fillId="15" borderId="179" xfId="0" applyFont="1" applyFill="1" applyBorder="1" applyAlignment="1">
      <alignment horizontal="right" vertical="center"/>
    </xf>
    <xf numFmtId="164" fontId="10" fillId="15" borderId="108" xfId="0" applyFont="1" applyFill="1" applyBorder="1" applyAlignment="1">
      <alignment horizontal="right" vertical="center"/>
    </xf>
    <xf numFmtId="173" fontId="19" fillId="14" borderId="0" xfId="0" applyNumberFormat="1" applyFont="1" applyFill="1" applyAlignment="1">
      <alignment horizontal="left" vertical="center"/>
    </xf>
    <xf numFmtId="173" fontId="19" fillId="14" borderId="0" xfId="0" applyNumberFormat="1" applyFont="1" applyFill="1" applyAlignment="1">
      <alignment horizontal="left" vertical="top"/>
    </xf>
    <xf numFmtId="173" fontId="118" fillId="22" borderId="364" xfId="0" applyNumberFormat="1" applyFont="1" applyFill="1" applyBorder="1" applyAlignment="1" applyProtection="1">
      <alignment horizontal="right" vertical="center"/>
      <protection locked="0"/>
    </xf>
    <xf numFmtId="173" fontId="118" fillId="22" borderId="389" xfId="0" applyNumberFormat="1" applyFont="1" applyFill="1" applyBorder="1" applyAlignment="1" applyProtection="1">
      <alignment horizontal="right" vertical="center"/>
      <protection locked="0"/>
    </xf>
    <xf numFmtId="164" fontId="63" fillId="14" borderId="0" xfId="0" applyFont="1" applyFill="1" applyAlignment="1">
      <alignment horizontal="right" vertical="center"/>
    </xf>
    <xf numFmtId="192" fontId="63" fillId="25" borderId="115" xfId="0" applyNumberFormat="1" applyFont="1" applyFill="1" applyBorder="1" applyAlignment="1">
      <alignment horizontal="right" vertical="center"/>
    </xf>
    <xf numFmtId="192" fontId="63" fillId="25" borderId="110" xfId="0" applyNumberFormat="1" applyFont="1" applyFill="1" applyBorder="1" applyAlignment="1">
      <alignment horizontal="right" vertical="center"/>
    </xf>
    <xf numFmtId="173" fontId="142" fillId="14" borderId="0" xfId="0" applyNumberFormat="1" applyFont="1" applyFill="1" applyAlignment="1">
      <alignment horizontal="left" vertical="top"/>
    </xf>
    <xf numFmtId="173" fontId="214" fillId="14" borderId="19" xfId="0" applyNumberFormat="1" applyFont="1" applyFill="1" applyBorder="1" applyAlignment="1" applyProtection="1">
      <alignment horizontal="left" vertical="center"/>
      <protection locked="0"/>
    </xf>
    <xf numFmtId="173" fontId="118" fillId="22" borderId="364" xfId="0" applyNumberFormat="1" applyFont="1" applyFill="1" applyBorder="1" applyAlignment="1">
      <alignment horizontal="left" vertical="center"/>
    </xf>
    <xf numFmtId="173" fontId="118" fillId="22" borderId="56" xfId="0" applyNumberFormat="1" applyFont="1" applyFill="1" applyBorder="1" applyAlignment="1">
      <alignment horizontal="left" vertical="center"/>
    </xf>
    <xf numFmtId="164" fontId="46" fillId="15" borderId="101" xfId="0" applyFont="1" applyFill="1" applyBorder="1" applyAlignment="1">
      <alignment horizontal="right" vertical="center"/>
    </xf>
    <xf numFmtId="164" fontId="46" fillId="15" borderId="106" xfId="0" applyFont="1" applyFill="1" applyBorder="1" applyAlignment="1">
      <alignment horizontal="right" vertical="center"/>
    </xf>
    <xf numFmtId="164" fontId="46" fillId="15" borderId="179" xfId="0" applyFont="1" applyFill="1" applyBorder="1" applyAlignment="1">
      <alignment horizontal="right" vertical="center"/>
    </xf>
    <xf numFmtId="164" fontId="46" fillId="15" borderId="108" xfId="0" applyFont="1" applyFill="1" applyBorder="1" applyAlignment="1">
      <alignment horizontal="right" vertical="center"/>
    </xf>
    <xf numFmtId="241" fontId="123" fillId="26" borderId="179" xfId="0" applyNumberFormat="1" applyFont="1" applyFill="1" applyBorder="1" applyAlignment="1">
      <alignment horizontal="center" vertical="center"/>
    </xf>
    <xf numFmtId="241" fontId="123" fillId="26" borderId="180" xfId="0" applyNumberFormat="1" applyFont="1" applyFill="1" applyBorder="1" applyAlignment="1">
      <alignment horizontal="center" vertical="center"/>
    </xf>
    <xf numFmtId="164" fontId="256" fillId="14" borderId="0" xfId="0" applyFont="1" applyFill="1" applyAlignment="1">
      <alignment horizontal="left"/>
    </xf>
    <xf numFmtId="173" fontId="118" fillId="22" borderId="128" xfId="0" applyNumberFormat="1" applyFont="1" applyFill="1" applyBorder="1" applyAlignment="1">
      <alignment horizontal="left" vertical="center"/>
    </xf>
    <xf numFmtId="173" fontId="118" fillId="22" borderId="125" xfId="0" applyNumberFormat="1" applyFont="1" applyFill="1" applyBorder="1" applyAlignment="1">
      <alignment horizontal="left" vertical="center"/>
    </xf>
    <xf numFmtId="8" fontId="19" fillId="14" borderId="0" xfId="0" applyNumberFormat="1" applyFont="1" applyFill="1" applyAlignment="1">
      <alignment horizontal="left"/>
    </xf>
    <xf numFmtId="8" fontId="19" fillId="14" borderId="0" xfId="0" applyNumberFormat="1" applyFont="1" applyFill="1" applyAlignment="1">
      <alignment horizontal="left" vertical="center"/>
    </xf>
    <xf numFmtId="8" fontId="19" fillId="14" borderId="0" xfId="0" applyNumberFormat="1" applyFont="1" applyFill="1" applyAlignment="1">
      <alignment horizontal="left" vertical="top"/>
    </xf>
    <xf numFmtId="173" fontId="91" fillId="22" borderId="364" xfId="0" applyNumberFormat="1" applyFont="1" applyFill="1" applyBorder="1" applyAlignment="1" applyProtection="1">
      <alignment horizontal="left" vertical="center"/>
      <protection locked="0"/>
    </xf>
    <xf numFmtId="173" fontId="91" fillId="22" borderId="56" xfId="0" applyNumberFormat="1" applyFont="1" applyFill="1" applyBorder="1" applyAlignment="1" applyProtection="1">
      <alignment horizontal="left" vertical="center"/>
      <protection locked="0"/>
    </xf>
    <xf numFmtId="173" fontId="91" fillId="22" borderId="389" xfId="0" applyNumberFormat="1" applyFont="1" applyFill="1" applyBorder="1" applyAlignment="1" applyProtection="1">
      <alignment horizontal="left" vertical="center"/>
      <protection locked="0"/>
    </xf>
    <xf numFmtId="173" fontId="118" fillId="22" borderId="384" xfId="0" applyNumberFormat="1" applyFont="1" applyFill="1" applyBorder="1" applyAlignment="1">
      <alignment horizontal="left" vertical="center"/>
    </xf>
    <xf numFmtId="197" fontId="92" fillId="0" borderId="179" xfId="6" quotePrefix="1" applyNumberFormat="1" applyFont="1" applyBorder="1" applyAlignment="1" applyProtection="1">
      <alignment horizontal="left" vertical="center"/>
    </xf>
    <xf numFmtId="166" fontId="191" fillId="0" borderId="150" xfId="0" applyNumberFormat="1" applyFont="1" applyBorder="1" applyAlignment="1">
      <alignment horizontal="center" vertical="center"/>
    </xf>
    <xf numFmtId="1" fontId="117" fillId="5" borderId="92" xfId="0" applyNumberFormat="1" applyFont="1" applyFill="1" applyBorder="1" applyAlignment="1">
      <alignment horizontal="left" vertical="center"/>
    </xf>
    <xf numFmtId="1" fontId="117" fillId="5" borderId="93" xfId="0" applyNumberFormat="1" applyFont="1" applyFill="1" applyBorder="1" applyAlignment="1">
      <alignment horizontal="left" vertical="center"/>
    </xf>
    <xf numFmtId="1" fontId="117" fillId="5" borderId="179" xfId="0" applyNumberFormat="1" applyFont="1" applyFill="1" applyBorder="1" applyAlignment="1">
      <alignment horizontal="left" vertical="center"/>
    </xf>
    <xf numFmtId="4" fontId="151" fillId="0" borderId="161" xfId="0" quotePrefix="1" applyNumberFormat="1" applyFont="1" applyBorder="1" applyAlignment="1">
      <alignment horizontal="right" vertical="center"/>
    </xf>
    <xf numFmtId="4" fontId="151" fillId="0" borderId="163" xfId="0" applyNumberFormat="1" applyFont="1" applyBorder="1" applyAlignment="1">
      <alignment horizontal="right" vertical="center"/>
    </xf>
    <xf numFmtId="4" fontId="152" fillId="0" borderId="148" xfId="0" quotePrefix="1" applyNumberFormat="1" applyFont="1" applyBorder="1" applyAlignment="1">
      <alignment horizontal="right" vertical="center"/>
    </xf>
    <xf numFmtId="4" fontId="152" fillId="0" borderId="149" xfId="0" applyNumberFormat="1" applyFont="1" applyBorder="1" applyAlignment="1">
      <alignment horizontal="right" vertical="center"/>
    </xf>
    <xf numFmtId="221" fontId="42" fillId="8" borderId="141" xfId="0" applyNumberFormat="1" applyFont="1" applyFill="1" applyBorder="1" applyAlignment="1">
      <alignment horizontal="center" vertical="center"/>
    </xf>
    <xf numFmtId="221" fontId="42" fillId="8" borderId="142" xfId="0" applyNumberFormat="1" applyFont="1" applyFill="1" applyBorder="1" applyAlignment="1">
      <alignment horizontal="center" vertical="center"/>
    </xf>
    <xf numFmtId="221" fontId="42" fillId="8" borderId="143" xfId="0" applyNumberFormat="1" applyFont="1" applyFill="1" applyBorder="1" applyAlignment="1">
      <alignment horizontal="center" vertical="center"/>
    </xf>
    <xf numFmtId="206" fontId="15" fillId="12" borderId="129" xfId="0" applyNumberFormat="1" applyFont="1" applyFill="1" applyBorder="1" applyAlignment="1">
      <alignment horizontal="center" vertical="center"/>
    </xf>
    <xf numFmtId="206" fontId="15" fillId="12" borderId="130" xfId="0" applyNumberFormat="1" applyFont="1" applyFill="1" applyBorder="1" applyAlignment="1">
      <alignment horizontal="center" vertical="center"/>
    </xf>
    <xf numFmtId="206" fontId="15" fillId="12" borderId="131" xfId="0" applyNumberFormat="1" applyFont="1" applyFill="1" applyBorder="1" applyAlignment="1">
      <alignment horizontal="center" vertical="center"/>
    </xf>
    <xf numFmtId="166" fontId="146" fillId="0" borderId="139" xfId="0" applyNumberFormat="1" applyFont="1" applyBorder="1" applyAlignment="1">
      <alignment horizontal="center" vertical="center"/>
    </xf>
    <xf numFmtId="203" fontId="89" fillId="0" borderId="18" xfId="2" applyNumberFormat="1" applyFont="1" applyFill="1" applyBorder="1" applyAlignment="1" applyProtection="1">
      <alignment horizontal="left" vertical="center"/>
    </xf>
    <xf numFmtId="203" fontId="89" fillId="0" borderId="0" xfId="2" applyNumberFormat="1" applyFont="1" applyFill="1" applyBorder="1" applyAlignment="1" applyProtection="1">
      <alignment horizontal="left" vertical="center"/>
    </xf>
    <xf numFmtId="204" fontId="85" fillId="0" borderId="18" xfId="0" applyNumberFormat="1" applyFont="1" applyBorder="1" applyAlignment="1">
      <alignment horizontal="left" vertical="center"/>
    </xf>
    <xf numFmtId="204" fontId="85" fillId="0" borderId="0" xfId="0" applyNumberFormat="1" applyFont="1" applyAlignment="1">
      <alignment horizontal="left" vertical="center"/>
    </xf>
    <xf numFmtId="172" fontId="162" fillId="27" borderId="13" xfId="0" applyNumberFormat="1" applyFont="1" applyFill="1" applyBorder="1" applyAlignment="1">
      <alignment horizontal="center" vertical="center"/>
    </xf>
    <xf numFmtId="172" fontId="162" fillId="27" borderId="68" xfId="0" applyNumberFormat="1" applyFont="1" applyFill="1" applyBorder="1" applyAlignment="1">
      <alignment horizontal="center" vertical="center"/>
    </xf>
    <xf numFmtId="172" fontId="162" fillId="27" borderId="35" xfId="0" applyNumberFormat="1" applyFont="1" applyFill="1" applyBorder="1" applyAlignment="1">
      <alignment horizontal="center" vertical="center"/>
    </xf>
    <xf numFmtId="168" fontId="98" fillId="2" borderId="13" xfId="6" applyNumberFormat="1" applyFont="1" applyFill="1" applyBorder="1" applyAlignment="1" applyProtection="1">
      <alignment horizontal="center" vertical="center"/>
      <protection locked="0"/>
    </xf>
    <xf numFmtId="168" fontId="98" fillId="2" borderId="136" xfId="6" applyNumberFormat="1" applyFont="1" applyFill="1" applyBorder="1" applyAlignment="1" applyProtection="1">
      <alignment horizontal="center" vertical="center"/>
      <protection locked="0"/>
    </xf>
    <xf numFmtId="168" fontId="98" fillId="2" borderId="35" xfId="6" applyNumberFormat="1" applyFont="1" applyFill="1" applyBorder="1" applyAlignment="1" applyProtection="1">
      <alignment horizontal="center" vertical="center"/>
      <protection locked="0"/>
    </xf>
    <xf numFmtId="223" fontId="109" fillId="11" borderId="121" xfId="0" applyNumberFormat="1" applyFont="1" applyFill="1" applyBorder="1" applyAlignment="1">
      <alignment horizontal="center" vertical="center"/>
    </xf>
    <xf numFmtId="223" fontId="109" fillId="11" borderId="102" xfId="0" applyNumberFormat="1" applyFont="1" applyFill="1" applyBorder="1" applyAlignment="1">
      <alignment horizontal="center" vertical="center"/>
    </xf>
    <xf numFmtId="223" fontId="109" fillId="11" borderId="122" xfId="0" applyNumberFormat="1" applyFont="1" applyFill="1" applyBorder="1" applyAlignment="1">
      <alignment horizontal="center" vertical="center"/>
    </xf>
    <xf numFmtId="166" fontId="163" fillId="16" borderId="1" xfId="0" applyNumberFormat="1" applyFont="1" applyFill="1" applyBorder="1" applyAlignment="1">
      <alignment horizontal="right" vertical="center"/>
    </xf>
    <xf numFmtId="166" fontId="163" fillId="16" borderId="0" xfId="0" applyNumberFormat="1" applyFont="1" applyFill="1" applyAlignment="1">
      <alignment horizontal="right" vertical="center"/>
    </xf>
    <xf numFmtId="166" fontId="163" fillId="16" borderId="2" xfId="0" applyNumberFormat="1" applyFont="1" applyFill="1" applyBorder="1" applyAlignment="1">
      <alignment horizontal="right" vertical="center"/>
    </xf>
    <xf numFmtId="166" fontId="163" fillId="16" borderId="16" xfId="0" applyNumberFormat="1" applyFont="1" applyFill="1" applyBorder="1" applyAlignment="1">
      <alignment horizontal="right" vertical="center"/>
    </xf>
    <xf numFmtId="166" fontId="163" fillId="16" borderId="133" xfId="0" applyNumberFormat="1" applyFont="1" applyFill="1" applyBorder="1" applyAlignment="1">
      <alignment horizontal="right" vertical="center"/>
    </xf>
    <xf numFmtId="166" fontId="163" fillId="16" borderId="3" xfId="0" applyNumberFormat="1" applyFont="1" applyFill="1" applyBorder="1" applyAlignment="1">
      <alignment horizontal="right" vertical="center"/>
    </xf>
    <xf numFmtId="186" fontId="58" fillId="6" borderId="133" xfId="0" applyNumberFormat="1" applyFont="1" applyFill="1" applyBorder="1" applyAlignment="1">
      <alignment horizontal="right" vertical="center"/>
    </xf>
    <xf numFmtId="185" fontId="58" fillId="6" borderId="133" xfId="0" applyNumberFormat="1" applyFont="1" applyFill="1" applyBorder="1" applyAlignment="1">
      <alignment horizontal="center" vertical="center"/>
    </xf>
    <xf numFmtId="178" fontId="58" fillId="6" borderId="133" xfId="0" applyNumberFormat="1" applyFont="1" applyFill="1" applyBorder="1" applyAlignment="1">
      <alignment horizontal="center" vertical="center"/>
    </xf>
    <xf numFmtId="166" fontId="95" fillId="6" borderId="135" xfId="0" applyNumberFormat="1" applyFont="1" applyFill="1" applyBorder="1" applyAlignment="1">
      <alignment horizontal="right" vertical="center"/>
    </xf>
    <xf numFmtId="166" fontId="103" fillId="0" borderId="70" xfId="0" applyNumberFormat="1" applyFont="1" applyBorder="1" applyAlignment="1">
      <alignment horizontal="right" vertical="center"/>
    </xf>
    <xf numFmtId="14" fontId="259" fillId="0" borderId="127" xfId="0" applyNumberFormat="1" applyFont="1" applyBorder="1" applyAlignment="1">
      <alignment horizontal="left" vertical="center"/>
    </xf>
    <xf numFmtId="172" fontId="162" fillId="2" borderId="13" xfId="0" applyNumberFormat="1" applyFont="1" applyFill="1" applyBorder="1" applyAlignment="1">
      <alignment horizontal="center" vertical="center"/>
    </xf>
    <xf numFmtId="172" fontId="162" fillId="2" borderId="68" xfId="0" applyNumberFormat="1" applyFont="1" applyFill="1" applyBorder="1" applyAlignment="1">
      <alignment horizontal="center" vertical="center"/>
    </xf>
    <xf numFmtId="172" fontId="162" fillId="2" borderId="35" xfId="0" applyNumberFormat="1" applyFont="1" applyFill="1" applyBorder="1" applyAlignment="1">
      <alignment horizontal="center" vertical="center"/>
    </xf>
    <xf numFmtId="166" fontId="146" fillId="0" borderId="150" xfId="0" applyNumberFormat="1" applyFont="1" applyBorder="1" applyAlignment="1">
      <alignment horizontal="center" vertical="center"/>
    </xf>
    <xf numFmtId="164" fontId="166" fillId="0" borderId="357" xfId="0" applyFont="1" applyBorder="1" applyAlignment="1">
      <alignment horizontal="center" vertical="center"/>
    </xf>
    <xf numFmtId="164" fontId="166" fillId="17" borderId="243" xfId="0" applyFont="1" applyFill="1" applyBorder="1" applyAlignment="1">
      <alignment horizontal="center" vertical="center"/>
    </xf>
    <xf numFmtId="164" fontId="166" fillId="17" borderId="294" xfId="0" applyFont="1" applyFill="1" applyBorder="1" applyAlignment="1">
      <alignment horizontal="center" vertical="center"/>
    </xf>
    <xf numFmtId="164" fontId="166" fillId="17" borderId="218" xfId="0" applyFont="1" applyFill="1" applyBorder="1" applyAlignment="1">
      <alignment horizontal="center" vertical="center"/>
    </xf>
    <xf numFmtId="166" fontId="164" fillId="26" borderId="1" xfId="0" applyNumberFormat="1" applyFont="1" applyFill="1" applyBorder="1" applyAlignment="1">
      <alignment horizontal="right" vertical="center"/>
    </xf>
    <xf numFmtId="166" fontId="164" fillId="26" borderId="0" xfId="0" applyNumberFormat="1" applyFont="1" applyFill="1" applyAlignment="1">
      <alignment horizontal="right" vertical="center"/>
    </xf>
    <xf numFmtId="166" fontId="164" fillId="26" borderId="2" xfId="0" applyNumberFormat="1" applyFont="1" applyFill="1" applyBorder="1" applyAlignment="1">
      <alignment horizontal="right" vertical="center"/>
    </xf>
    <xf numFmtId="166" fontId="164" fillId="26" borderId="16" xfId="0" applyNumberFormat="1" applyFont="1" applyFill="1" applyBorder="1" applyAlignment="1">
      <alignment horizontal="right" vertical="center"/>
    </xf>
    <xf numFmtId="166" fontId="164" fillId="26" borderId="133" xfId="0" applyNumberFormat="1" applyFont="1" applyFill="1" applyBorder="1" applyAlignment="1">
      <alignment horizontal="right" vertical="center"/>
    </xf>
    <xf numFmtId="166" fontId="164" fillId="26" borderId="3" xfId="0" applyNumberFormat="1" applyFont="1" applyFill="1" applyBorder="1" applyAlignment="1">
      <alignment horizontal="right" vertical="center"/>
    </xf>
    <xf numFmtId="4" fontId="109" fillId="11" borderId="121" xfId="0" applyNumberFormat="1" applyFont="1" applyFill="1" applyBorder="1" applyAlignment="1">
      <alignment horizontal="center" vertical="center"/>
    </xf>
    <xf numFmtId="4" fontId="109" fillId="11" borderId="102" xfId="0" applyNumberFormat="1" applyFont="1" applyFill="1" applyBorder="1" applyAlignment="1">
      <alignment horizontal="center" vertical="center"/>
    </xf>
    <xf numFmtId="4" fontId="109" fillId="11" borderId="122" xfId="0" applyNumberFormat="1" applyFont="1" applyFill="1" applyBorder="1" applyAlignment="1">
      <alignment horizontal="center" vertical="center"/>
    </xf>
    <xf numFmtId="172" fontId="161" fillId="2" borderId="13" xfId="0" applyNumberFormat="1" applyFont="1" applyFill="1" applyBorder="1" applyAlignment="1">
      <alignment horizontal="center" vertical="center"/>
    </xf>
    <xf numFmtId="172" fontId="161" fillId="2" borderId="68" xfId="0" applyNumberFormat="1" applyFont="1" applyFill="1" applyBorder="1" applyAlignment="1">
      <alignment horizontal="center" vertical="center"/>
    </xf>
    <xf numFmtId="172" fontId="161" fillId="2" borderId="35" xfId="0" applyNumberFormat="1" applyFont="1" applyFill="1" applyBorder="1" applyAlignment="1">
      <alignment horizontal="center" vertical="center"/>
    </xf>
    <xf numFmtId="4" fontId="15" fillId="28" borderId="204" xfId="2" applyNumberFormat="1" applyFont="1" applyFill="1" applyBorder="1" applyAlignment="1" applyProtection="1">
      <alignment horizontal="right" vertical="center"/>
      <protection locked="0"/>
    </xf>
    <xf numFmtId="4" fontId="15" fillId="28" borderId="202" xfId="2" applyNumberFormat="1" applyFont="1" applyFill="1" applyBorder="1" applyAlignment="1" applyProtection="1">
      <alignment horizontal="right" vertical="center"/>
      <protection locked="0"/>
    </xf>
    <xf numFmtId="165" fontId="15" fillId="28" borderId="262" xfId="0" quotePrefix="1" applyNumberFormat="1" applyFont="1" applyFill="1" applyBorder="1" applyAlignment="1" applyProtection="1">
      <alignment horizontal="center" vertical="center"/>
      <protection locked="0"/>
    </xf>
    <xf numFmtId="165" fontId="15" fillId="28" borderId="267" xfId="0" quotePrefix="1" applyNumberFormat="1" applyFont="1" applyFill="1" applyBorder="1" applyAlignment="1" applyProtection="1">
      <alignment horizontal="center" vertical="center"/>
      <protection locked="0"/>
    </xf>
    <xf numFmtId="165" fontId="15" fillId="28" borderId="390" xfId="0" quotePrefix="1" applyNumberFormat="1" applyFont="1" applyFill="1" applyBorder="1" applyAlignment="1" applyProtection="1">
      <alignment horizontal="center" vertical="center"/>
      <protection locked="0"/>
    </xf>
    <xf numFmtId="4" fontId="15" fillId="28" borderId="369" xfId="2" applyNumberFormat="1" applyFont="1" applyFill="1" applyBorder="1" applyAlignment="1" applyProtection="1">
      <alignment horizontal="right" vertical="center"/>
      <protection locked="0"/>
    </xf>
    <xf numFmtId="4" fontId="15" fillId="28" borderId="374" xfId="2" applyNumberFormat="1" applyFont="1" applyFill="1" applyBorder="1" applyAlignment="1" applyProtection="1">
      <alignment horizontal="right" vertical="center"/>
      <protection locked="0"/>
    </xf>
    <xf numFmtId="218" fontId="109" fillId="11" borderId="121" xfId="0" applyNumberFormat="1" applyFont="1" applyFill="1" applyBorder="1" applyAlignment="1">
      <alignment horizontal="center" vertical="center"/>
    </xf>
    <xf numFmtId="218" fontId="109" fillId="11" borderId="102" xfId="0" applyNumberFormat="1" applyFont="1" applyFill="1" applyBorder="1" applyAlignment="1">
      <alignment horizontal="center" vertical="center"/>
    </xf>
    <xf numFmtId="218" fontId="109" fillId="11" borderId="122" xfId="0" applyNumberFormat="1" applyFont="1" applyFill="1" applyBorder="1" applyAlignment="1">
      <alignment horizontal="center" vertical="center"/>
    </xf>
    <xf numFmtId="165" fontId="15" fillId="28" borderId="366" xfId="0" quotePrefix="1" applyNumberFormat="1" applyFont="1" applyFill="1" applyBorder="1" applyAlignment="1" applyProtection="1">
      <alignment horizontal="center" vertical="center"/>
      <protection locked="0"/>
    </xf>
    <xf numFmtId="4" fontId="15" fillId="28" borderId="206" xfId="2" applyNumberFormat="1" applyFont="1" applyFill="1" applyBorder="1" applyAlignment="1" applyProtection="1">
      <alignment horizontal="right" vertical="center"/>
      <protection locked="0"/>
    </xf>
    <xf numFmtId="4" fontId="15" fillId="28" borderId="366" xfId="2" applyNumberFormat="1" applyFont="1" applyFill="1" applyBorder="1" applyAlignment="1" applyProtection="1">
      <alignment horizontal="right" vertical="center"/>
      <protection locked="0"/>
    </xf>
    <xf numFmtId="219" fontId="109" fillId="11" borderId="121" xfId="0" applyNumberFormat="1" applyFont="1" applyFill="1" applyBorder="1" applyAlignment="1">
      <alignment horizontal="center" vertical="center"/>
    </xf>
    <xf numFmtId="219" fontId="109" fillId="11" borderId="102" xfId="0" applyNumberFormat="1" applyFont="1" applyFill="1" applyBorder="1" applyAlignment="1">
      <alignment horizontal="center" vertical="center"/>
    </xf>
    <xf numFmtId="219" fontId="109" fillId="11" borderId="122" xfId="0" applyNumberFormat="1" applyFont="1" applyFill="1" applyBorder="1" applyAlignment="1">
      <alignment horizontal="center" vertical="center"/>
    </xf>
    <xf numFmtId="172" fontId="110" fillId="2" borderId="13" xfId="0" applyNumberFormat="1" applyFont="1" applyFill="1" applyBorder="1" applyAlignment="1">
      <alignment horizontal="center" vertical="center"/>
    </xf>
    <xf numFmtId="172" fontId="110" fillId="2" borderId="68" xfId="0" applyNumberFormat="1" applyFont="1" applyFill="1" applyBorder="1" applyAlignment="1">
      <alignment horizontal="center" vertical="center"/>
    </xf>
    <xf numFmtId="172" fontId="110" fillId="2" borderId="35" xfId="0" applyNumberFormat="1" applyFont="1" applyFill="1" applyBorder="1" applyAlignment="1">
      <alignment horizontal="center" vertical="center"/>
    </xf>
    <xf numFmtId="166" fontId="64" fillId="6" borderId="1" xfId="0" applyNumberFormat="1" applyFont="1" applyFill="1" applyBorder="1" applyAlignment="1">
      <alignment horizontal="right" vertical="center"/>
    </xf>
    <xf numFmtId="166" fontId="64" fillId="6" borderId="0" xfId="0" applyNumberFormat="1" applyFont="1" applyFill="1" applyAlignment="1">
      <alignment horizontal="right" vertical="center"/>
    </xf>
    <xf numFmtId="166" fontId="64" fillId="6" borderId="2" xfId="0" applyNumberFormat="1" applyFont="1" applyFill="1" applyBorder="1" applyAlignment="1">
      <alignment horizontal="right" vertical="center"/>
    </xf>
    <xf numFmtId="166" fontId="64" fillId="6" borderId="16" xfId="0" applyNumberFormat="1" applyFont="1" applyFill="1" applyBorder="1" applyAlignment="1">
      <alignment horizontal="right" vertical="center"/>
    </xf>
    <xf numFmtId="166" fontId="64" fillId="6" borderId="133" xfId="0" applyNumberFormat="1" applyFont="1" applyFill="1" applyBorder="1" applyAlignment="1">
      <alignment horizontal="right" vertical="center"/>
    </xf>
    <xf numFmtId="166" fontId="64" fillId="6" borderId="3" xfId="0" applyNumberFormat="1" applyFont="1" applyFill="1" applyBorder="1" applyAlignment="1">
      <alignment horizontal="right" vertical="center"/>
    </xf>
    <xf numFmtId="172" fontId="100" fillId="2" borderId="13" xfId="0" applyNumberFormat="1" applyFont="1" applyFill="1" applyBorder="1" applyAlignment="1">
      <alignment horizontal="center" vertical="center"/>
    </xf>
    <xf numFmtId="172" fontId="100" fillId="2" borderId="68" xfId="0" applyNumberFormat="1" applyFont="1" applyFill="1" applyBorder="1" applyAlignment="1">
      <alignment horizontal="center" vertical="center"/>
    </xf>
    <xf numFmtId="172" fontId="100" fillId="2" borderId="35" xfId="0" applyNumberFormat="1" applyFont="1" applyFill="1" applyBorder="1" applyAlignment="1">
      <alignment horizontal="center" vertical="center"/>
    </xf>
    <xf numFmtId="166" fontId="186" fillId="30" borderId="1" xfId="0" applyNumberFormat="1" applyFont="1" applyFill="1" applyBorder="1" applyAlignment="1">
      <alignment horizontal="right" vertical="center"/>
    </xf>
    <xf numFmtId="166" fontId="186" fillId="30" borderId="0" xfId="0" applyNumberFormat="1" applyFont="1" applyFill="1" applyAlignment="1">
      <alignment horizontal="right" vertical="center"/>
    </xf>
    <xf numFmtId="166" fontId="186" fillId="30" borderId="2" xfId="0" applyNumberFormat="1" applyFont="1" applyFill="1" applyBorder="1" applyAlignment="1">
      <alignment horizontal="right" vertical="center"/>
    </xf>
    <xf numFmtId="166" fontId="186" fillId="30" borderId="16" xfId="0" applyNumberFormat="1" applyFont="1" applyFill="1" applyBorder="1" applyAlignment="1">
      <alignment horizontal="right" vertical="center"/>
    </xf>
    <xf numFmtId="166" fontId="186" fillId="30" borderId="133" xfId="0" applyNumberFormat="1" applyFont="1" applyFill="1" applyBorder="1" applyAlignment="1">
      <alignment horizontal="right" vertical="center"/>
    </xf>
    <xf numFmtId="166" fontId="186" fillId="30" borderId="3" xfId="0" applyNumberFormat="1" applyFont="1" applyFill="1" applyBorder="1" applyAlignment="1">
      <alignment horizontal="right" vertical="center"/>
    </xf>
    <xf numFmtId="220" fontId="42" fillId="8" borderId="141" xfId="0" applyNumberFormat="1" applyFont="1" applyFill="1" applyBorder="1" applyAlignment="1">
      <alignment horizontal="center" vertical="center"/>
    </xf>
    <xf numFmtId="220" fontId="42" fillId="8" borderId="142" xfId="0" applyNumberFormat="1" applyFont="1" applyFill="1" applyBorder="1" applyAlignment="1">
      <alignment horizontal="center" vertical="center"/>
    </xf>
    <xf numFmtId="220" fontId="42" fillId="8" borderId="143" xfId="0" applyNumberFormat="1" applyFont="1" applyFill="1" applyBorder="1" applyAlignment="1">
      <alignment horizontal="center" vertical="center"/>
    </xf>
    <xf numFmtId="172" fontId="100" fillId="27" borderId="13" xfId="0" applyNumberFormat="1" applyFont="1" applyFill="1" applyBorder="1" applyAlignment="1">
      <alignment horizontal="center" vertical="center"/>
    </xf>
    <xf numFmtId="172" fontId="100" fillId="27" borderId="68" xfId="0" applyNumberFormat="1" applyFont="1" applyFill="1" applyBorder="1" applyAlignment="1">
      <alignment horizontal="center" vertical="center"/>
    </xf>
    <xf numFmtId="172" fontId="100" fillId="27" borderId="35" xfId="0" applyNumberFormat="1" applyFont="1" applyFill="1" applyBorder="1" applyAlignment="1">
      <alignment horizontal="center" vertical="center"/>
    </xf>
    <xf numFmtId="14" fontId="258" fillId="0" borderId="127" xfId="0" applyNumberFormat="1" applyFont="1" applyBorder="1" applyAlignment="1">
      <alignment horizontal="left" vertical="center"/>
    </xf>
    <xf numFmtId="14" fontId="257" fillId="0" borderId="127" xfId="0" applyNumberFormat="1" applyFont="1" applyBorder="1" applyAlignment="1">
      <alignment horizontal="left" vertical="center"/>
    </xf>
    <xf numFmtId="166" fontId="23" fillId="18" borderId="1" xfId="0" applyNumberFormat="1" applyFont="1" applyFill="1" applyBorder="1" applyAlignment="1">
      <alignment horizontal="right" vertical="center"/>
    </xf>
    <xf numFmtId="166" fontId="23" fillId="18" borderId="0" xfId="0" applyNumberFormat="1" applyFont="1" applyFill="1" applyAlignment="1">
      <alignment horizontal="right" vertical="center"/>
    </xf>
    <xf numFmtId="166" fontId="23" fillId="18" borderId="2" xfId="0" applyNumberFormat="1" applyFont="1" applyFill="1" applyBorder="1" applyAlignment="1">
      <alignment horizontal="right" vertical="center"/>
    </xf>
    <xf numFmtId="166" fontId="23" fillId="18" borderId="16" xfId="0" applyNumberFormat="1" applyFont="1" applyFill="1" applyBorder="1" applyAlignment="1">
      <alignment horizontal="right" vertical="center"/>
    </xf>
    <xf numFmtId="166" fontId="23" fillId="18" borderId="133" xfId="0" applyNumberFormat="1" applyFont="1" applyFill="1" applyBorder="1" applyAlignment="1">
      <alignment horizontal="right" vertical="center"/>
    </xf>
    <xf numFmtId="166" fontId="23" fillId="18" borderId="3" xfId="0" applyNumberFormat="1" applyFont="1" applyFill="1" applyBorder="1" applyAlignment="1">
      <alignment horizontal="right" vertical="center"/>
    </xf>
    <xf numFmtId="203" fontId="89" fillId="7" borderId="0" xfId="2" applyNumberFormat="1" applyFont="1" applyFill="1" applyBorder="1" applyAlignment="1" applyProtection="1">
      <alignment horizontal="left" vertical="center"/>
    </xf>
    <xf numFmtId="205" fontId="15" fillId="7" borderId="0" xfId="0" applyNumberFormat="1" applyFont="1" applyFill="1" applyAlignment="1">
      <alignment horizontal="center" vertical="center"/>
    </xf>
    <xf numFmtId="204" fontId="85" fillId="7" borderId="0" xfId="0" applyNumberFormat="1" applyFont="1" applyFill="1" applyAlignment="1">
      <alignment horizontal="left" vertical="center"/>
    </xf>
    <xf numFmtId="172" fontId="134" fillId="2" borderId="13" xfId="0" applyNumberFormat="1" applyFont="1" applyFill="1" applyBorder="1" applyAlignment="1">
      <alignment horizontal="center" vertical="center"/>
    </xf>
    <xf numFmtId="172" fontId="134" fillId="2" borderId="68" xfId="0" applyNumberFormat="1" applyFont="1" applyFill="1" applyBorder="1" applyAlignment="1">
      <alignment horizontal="center" vertical="center"/>
    </xf>
    <xf numFmtId="172" fontId="134" fillId="2" borderId="35" xfId="0" applyNumberFormat="1" applyFont="1" applyFill="1" applyBorder="1" applyAlignment="1">
      <alignment horizontal="center" vertical="center"/>
    </xf>
    <xf numFmtId="237" fontId="166" fillId="6" borderId="127" xfId="0" applyNumberFormat="1" applyFont="1" applyFill="1" applyBorder="1" applyAlignment="1">
      <alignment horizontal="right" vertical="center"/>
    </xf>
    <xf numFmtId="237" fontId="166" fillId="6" borderId="70" xfId="0" applyNumberFormat="1" applyFont="1" applyFill="1" applyBorder="1" applyAlignment="1">
      <alignment horizontal="right" vertical="center"/>
    </xf>
    <xf numFmtId="236" fontId="165" fillId="6" borderId="271" xfId="0" applyNumberFormat="1" applyFont="1" applyFill="1" applyBorder="1" applyAlignment="1">
      <alignment horizontal="center" vertical="center"/>
    </xf>
    <xf numFmtId="236" fontId="165" fillId="6" borderId="127" xfId="0" applyNumberFormat="1" applyFont="1" applyFill="1" applyBorder="1" applyAlignment="1">
      <alignment horizontal="center" vertical="center"/>
    </xf>
    <xf numFmtId="236" fontId="165" fillId="6" borderId="70" xfId="0" applyNumberFormat="1" applyFont="1" applyFill="1" applyBorder="1" applyAlignment="1">
      <alignment horizontal="center" vertical="center"/>
    </xf>
    <xf numFmtId="164" fontId="49" fillId="0" borderId="0" xfId="0" applyFont="1" applyAlignment="1">
      <alignment horizontal="center" vertical="center"/>
    </xf>
    <xf numFmtId="166" fontId="165" fillId="0" borderId="343" xfId="0" applyNumberFormat="1" applyFont="1" applyBorder="1" applyAlignment="1">
      <alignment horizontal="left" vertical="center"/>
    </xf>
    <xf numFmtId="169" fontId="76" fillId="14" borderId="41" xfId="0" applyNumberFormat="1" applyFont="1" applyFill="1" applyBorder="1" applyAlignment="1">
      <alignment horizontal="center" vertical="center" wrapText="1"/>
    </xf>
    <xf numFmtId="169" fontId="76" fillId="14" borderId="21" xfId="0" applyNumberFormat="1" applyFont="1" applyFill="1" applyBorder="1" applyAlignment="1">
      <alignment horizontal="center" vertical="center" wrapText="1"/>
    </xf>
    <xf numFmtId="169" fontId="76" fillId="14" borderId="32" xfId="0" applyNumberFormat="1" applyFont="1" applyFill="1" applyBorder="1" applyAlignment="1">
      <alignment horizontal="center" vertical="center" wrapText="1"/>
    </xf>
    <xf numFmtId="164" fontId="157" fillId="0" borderId="0" xfId="0" applyFont="1" applyAlignment="1">
      <alignment horizontal="center"/>
    </xf>
    <xf numFmtId="165" fontId="195" fillId="14" borderId="49" xfId="0" quotePrefix="1" applyNumberFormat="1" applyFont="1" applyFill="1" applyBorder="1" applyAlignment="1">
      <alignment horizontal="center" vertical="center"/>
    </xf>
    <xf numFmtId="165" fontId="195" fillId="14" borderId="137" xfId="0" applyNumberFormat="1" applyFont="1" applyFill="1" applyBorder="1" applyAlignment="1">
      <alignment horizontal="center" vertical="center"/>
    </xf>
    <xf numFmtId="165" fontId="195" fillId="14" borderId="13" xfId="0" applyNumberFormat="1" applyFont="1" applyFill="1" applyBorder="1" applyAlignment="1">
      <alignment horizontal="center" vertical="center"/>
    </xf>
    <xf numFmtId="165" fontId="195" fillId="14" borderId="136" xfId="0" applyNumberFormat="1" applyFont="1" applyFill="1" applyBorder="1" applyAlignment="1">
      <alignment horizontal="center" vertical="center"/>
    </xf>
    <xf numFmtId="166" fontId="105" fillId="14" borderId="232" xfId="0" applyNumberFormat="1" applyFont="1" applyFill="1" applyBorder="1" applyAlignment="1" applyProtection="1">
      <alignment horizontal="center" vertical="center"/>
      <protection locked="0"/>
    </xf>
    <xf numFmtId="166" fontId="105" fillId="14" borderId="233" xfId="0" applyNumberFormat="1" applyFont="1" applyFill="1" applyBorder="1" applyAlignment="1" applyProtection="1">
      <alignment horizontal="center" vertical="center"/>
      <protection locked="0"/>
    </xf>
    <xf numFmtId="166" fontId="62" fillId="22" borderId="222" xfId="2" applyNumberFormat="1" applyFont="1" applyFill="1" applyBorder="1" applyAlignment="1" applyProtection="1">
      <alignment horizontal="right"/>
    </xf>
    <xf numFmtId="166" fontId="62" fillId="22" borderId="228" xfId="2" applyNumberFormat="1" applyFont="1" applyFill="1" applyBorder="1" applyAlignment="1" applyProtection="1">
      <alignment horizontal="right"/>
    </xf>
    <xf numFmtId="166" fontId="62" fillId="22" borderId="150" xfId="2" applyNumberFormat="1" applyFont="1" applyFill="1" applyBorder="1" applyAlignment="1" applyProtection="1">
      <alignment horizontal="right"/>
    </xf>
    <xf numFmtId="166" fontId="62" fillId="22" borderId="234" xfId="2" applyNumberFormat="1" applyFont="1" applyFill="1" applyBorder="1" applyAlignment="1" applyProtection="1">
      <alignment horizontal="right"/>
    </xf>
    <xf numFmtId="166" fontId="81" fillId="14" borderId="40" xfId="0" applyNumberFormat="1" applyFont="1" applyFill="1" applyBorder="1" applyAlignment="1">
      <alignment horizontal="left" vertical="center"/>
    </xf>
    <xf numFmtId="166" fontId="81" fillId="14" borderId="237" xfId="0" applyNumberFormat="1" applyFont="1" applyFill="1" applyBorder="1" applyAlignment="1">
      <alignment horizontal="left" vertical="center"/>
    </xf>
    <xf numFmtId="166" fontId="89" fillId="19" borderId="119" xfId="0" applyNumberFormat="1" applyFont="1" applyFill="1" applyBorder="1" applyAlignment="1">
      <alignment horizontal="center" vertical="center" wrapText="1"/>
    </xf>
    <xf numFmtId="166" fontId="89" fillId="19" borderId="42" xfId="0" applyNumberFormat="1" applyFont="1" applyFill="1" applyBorder="1" applyAlignment="1">
      <alignment horizontal="center" vertical="center" wrapText="1"/>
    </xf>
    <xf numFmtId="166" fontId="89" fillId="19" borderId="97" xfId="0" applyNumberFormat="1" applyFont="1" applyFill="1" applyBorder="1" applyAlignment="1">
      <alignment horizontal="center" vertical="center" wrapText="1"/>
    </xf>
    <xf numFmtId="4" fontId="152" fillId="0" borderId="387" xfId="0" quotePrefix="1" applyNumberFormat="1" applyFont="1" applyBorder="1" applyAlignment="1">
      <alignment horizontal="right" vertical="center"/>
    </xf>
    <xf numFmtId="4" fontId="152" fillId="0" borderId="385" xfId="0" applyNumberFormat="1" applyFont="1" applyBorder="1" applyAlignment="1">
      <alignment horizontal="right" vertical="center"/>
    </xf>
    <xf numFmtId="174" fontId="49" fillId="6" borderId="18" xfId="0" applyNumberFormat="1" applyFont="1" applyFill="1" applyBorder="1" applyAlignment="1">
      <alignment horizontal="center" vertical="center" textRotation="90"/>
    </xf>
    <xf numFmtId="174" fontId="49" fillId="6" borderId="384" xfId="0" applyNumberFormat="1" applyFont="1" applyFill="1" applyBorder="1" applyAlignment="1">
      <alignment horizontal="center" vertical="center" textRotation="90"/>
    </xf>
    <xf numFmtId="4" fontId="89" fillId="0" borderId="161" xfId="0" quotePrefix="1" applyNumberFormat="1" applyFont="1" applyBorder="1" applyAlignment="1">
      <alignment horizontal="right" vertical="center"/>
    </xf>
    <xf numFmtId="4" fontId="89" fillId="0" borderId="163" xfId="0" applyNumberFormat="1" applyFont="1" applyBorder="1" applyAlignment="1">
      <alignment horizontal="right" vertical="center"/>
    </xf>
    <xf numFmtId="4" fontId="286" fillId="0" borderId="387" xfId="0" quotePrefix="1" applyNumberFormat="1" applyFont="1" applyBorder="1" applyAlignment="1">
      <alignment horizontal="right" vertical="center"/>
    </xf>
    <xf numFmtId="4" fontId="286" fillId="0" borderId="385" xfId="0" applyNumberFormat="1" applyFont="1" applyBorder="1" applyAlignment="1">
      <alignment horizontal="right" vertical="center"/>
    </xf>
    <xf numFmtId="240" fontId="285" fillId="13" borderId="121" xfId="0" applyNumberFormat="1" applyFont="1" applyFill="1" applyBorder="1" applyAlignment="1">
      <alignment horizontal="center" vertical="center"/>
    </xf>
    <xf numFmtId="240" fontId="285" fillId="13" borderId="102" xfId="0" applyNumberFormat="1" applyFont="1" applyFill="1" applyBorder="1" applyAlignment="1">
      <alignment horizontal="center" vertical="center"/>
    </xf>
    <xf numFmtId="240" fontId="285" fillId="13" borderId="122" xfId="0" applyNumberFormat="1" applyFont="1" applyFill="1" applyBorder="1" applyAlignment="1">
      <alignment horizontal="center" vertical="center"/>
    </xf>
    <xf numFmtId="4" fontId="15" fillId="0" borderId="0" xfId="0" applyNumberFormat="1" applyFont="1" applyAlignment="1">
      <alignment horizontal="center" vertical="center"/>
    </xf>
    <xf numFmtId="239" fontId="288" fillId="35" borderId="121" xfId="0" applyNumberFormat="1" applyFont="1" applyFill="1" applyBorder="1" applyAlignment="1">
      <alignment horizontal="center" vertical="center"/>
    </xf>
    <xf numFmtId="239" fontId="288" fillId="35" borderId="102" xfId="0" applyNumberFormat="1" applyFont="1" applyFill="1" applyBorder="1" applyAlignment="1">
      <alignment horizontal="center" vertical="center"/>
    </xf>
    <xf numFmtId="239" fontId="288" fillId="35" borderId="122" xfId="0" applyNumberFormat="1" applyFont="1" applyFill="1" applyBorder="1" applyAlignment="1">
      <alignment horizontal="center" vertical="center"/>
    </xf>
    <xf numFmtId="164" fontId="287" fillId="35" borderId="161" xfId="0" applyFont="1" applyFill="1" applyBorder="1" applyAlignment="1">
      <alignment horizontal="center" vertical="center"/>
    </xf>
    <xf numFmtId="164" fontId="287" fillId="35" borderId="163" xfId="0" applyFont="1" applyFill="1" applyBorder="1" applyAlignment="1">
      <alignment horizontal="center" vertical="center"/>
    </xf>
    <xf numFmtId="164" fontId="287" fillId="35" borderId="165" xfId="0" applyFont="1" applyFill="1" applyBorder="1" applyAlignment="1">
      <alignment horizontal="center" vertical="center"/>
    </xf>
    <xf numFmtId="164" fontId="115" fillId="23" borderId="167" xfId="0" applyFont="1" applyFill="1" applyBorder="1" applyAlignment="1">
      <alignment horizontal="right" vertical="center"/>
    </xf>
    <xf numFmtId="164" fontId="115" fillId="23" borderId="65" xfId="0" applyFont="1" applyFill="1" applyBorder="1" applyAlignment="1">
      <alignment horizontal="right" vertical="center"/>
    </xf>
    <xf numFmtId="4" fontId="15" fillId="23" borderId="161" xfId="0" applyNumberFormat="1" applyFont="1" applyFill="1" applyBorder="1" applyAlignment="1">
      <alignment horizontal="center" vertical="center"/>
    </xf>
    <xf numFmtId="4" fontId="15" fillId="23" borderId="201" xfId="0" applyNumberFormat="1" applyFont="1" applyFill="1" applyBorder="1" applyAlignment="1">
      <alignment horizontal="center" vertical="center"/>
    </xf>
    <xf numFmtId="4" fontId="15" fillId="23" borderId="218" xfId="0" applyNumberFormat="1" applyFont="1" applyFill="1" applyBorder="1" applyAlignment="1">
      <alignment horizontal="center" vertical="center"/>
    </xf>
    <xf numFmtId="172" fontId="111" fillId="2" borderId="13" xfId="0" applyNumberFormat="1" applyFont="1" applyFill="1" applyBorder="1" applyAlignment="1">
      <alignment horizontal="center" vertical="center"/>
    </xf>
    <xf numFmtId="172" fontId="111" fillId="2" borderId="68" xfId="0" applyNumberFormat="1" applyFont="1" applyFill="1" applyBorder="1" applyAlignment="1">
      <alignment horizontal="center" vertical="center"/>
    </xf>
    <xf numFmtId="172" fontId="111" fillId="2" borderId="35" xfId="0" applyNumberFormat="1" applyFont="1" applyFill="1" applyBorder="1" applyAlignment="1">
      <alignment horizontal="center" vertical="center"/>
    </xf>
    <xf numFmtId="214" fontId="90" fillId="0" borderId="0" xfId="0" applyNumberFormat="1" applyFont="1" applyAlignment="1">
      <alignment horizontal="left"/>
    </xf>
    <xf numFmtId="178" fontId="90" fillId="0" borderId="0" xfId="0" applyNumberFormat="1" applyFont="1" applyAlignment="1">
      <alignment horizontal="center"/>
    </xf>
    <xf numFmtId="217" fontId="199" fillId="11" borderId="38" xfId="2" quotePrefix="1" applyNumberFormat="1" applyFont="1" applyFill="1" applyBorder="1" applyAlignment="1" applyProtection="1">
      <alignment horizontal="center" vertical="center"/>
    </xf>
    <xf numFmtId="217" fontId="199" fillId="11" borderId="40" xfId="2" quotePrefix="1" applyNumberFormat="1" applyFont="1" applyFill="1" applyBorder="1" applyAlignment="1" applyProtection="1">
      <alignment horizontal="center" vertical="center"/>
    </xf>
    <xf numFmtId="217" fontId="199" fillId="11" borderId="34" xfId="2" quotePrefix="1" applyNumberFormat="1" applyFont="1" applyFill="1" applyBorder="1" applyAlignment="1" applyProtection="1">
      <alignment horizontal="center" vertical="center"/>
    </xf>
    <xf numFmtId="217" fontId="199" fillId="11" borderId="29" xfId="2" quotePrefix="1" applyNumberFormat="1" applyFont="1" applyFill="1" applyBorder="1" applyAlignment="1" applyProtection="1">
      <alignment horizontal="center" vertical="center"/>
    </xf>
    <xf numFmtId="166" fontId="46" fillId="14" borderId="36" xfId="0" applyNumberFormat="1" applyFont="1" applyFill="1" applyBorder="1" applyAlignment="1">
      <alignment horizontal="right" vertical="center" wrapText="1"/>
    </xf>
    <xf numFmtId="166" fontId="46" fillId="14" borderId="39" xfId="0" applyNumberFormat="1" applyFont="1" applyFill="1" applyBorder="1" applyAlignment="1">
      <alignment horizontal="right" vertical="center"/>
    </xf>
    <xf numFmtId="166" fontId="46" fillId="14" borderId="37" xfId="0" applyNumberFormat="1" applyFont="1" applyFill="1" applyBorder="1" applyAlignment="1">
      <alignment horizontal="right" vertical="center"/>
    </xf>
    <xf numFmtId="166" fontId="46" fillId="14" borderId="28" xfId="0" applyNumberFormat="1" applyFont="1" applyFill="1" applyBorder="1" applyAlignment="1">
      <alignment horizontal="right" vertical="center"/>
    </xf>
    <xf numFmtId="166" fontId="167" fillId="16" borderId="57" xfId="0" applyNumberFormat="1" applyFont="1" applyFill="1" applyBorder="1" applyAlignment="1">
      <alignment horizontal="center" vertical="center" wrapText="1"/>
    </xf>
    <xf numFmtId="166" fontId="167" fillId="16" borderId="42" xfId="0" applyNumberFormat="1" applyFont="1" applyFill="1" applyBorder="1" applyAlignment="1">
      <alignment horizontal="center" vertical="center" wrapText="1"/>
    </xf>
    <xf numFmtId="166" fontId="167" fillId="16" borderId="53" xfId="0" applyNumberFormat="1" applyFont="1" applyFill="1" applyBorder="1" applyAlignment="1">
      <alignment horizontal="center" vertical="center" wrapText="1"/>
    </xf>
    <xf numFmtId="196" fontId="90" fillId="0" borderId="0" xfId="0" applyNumberFormat="1" applyFont="1" applyAlignment="1">
      <alignment horizontal="left"/>
    </xf>
    <xf numFmtId="14" fontId="260" fillId="0" borderId="223" xfId="0" applyNumberFormat="1" applyFont="1" applyBorder="1" applyAlignment="1">
      <alignment horizontal="left" vertical="top"/>
    </xf>
    <xf numFmtId="14" fontId="260" fillId="0" borderId="0" xfId="0" applyNumberFormat="1" applyFont="1" applyAlignment="1">
      <alignment horizontal="left" vertical="top"/>
    </xf>
    <xf numFmtId="166" fontId="62" fillId="22" borderId="215" xfId="2" applyNumberFormat="1" applyFont="1" applyFill="1" applyBorder="1" applyAlignment="1" applyProtection="1">
      <alignment horizontal="right"/>
    </xf>
    <xf numFmtId="166" fontId="62" fillId="22" borderId="214" xfId="2" applyNumberFormat="1" applyFont="1" applyFill="1" applyBorder="1" applyAlignment="1" applyProtection="1">
      <alignment horizontal="right"/>
    </xf>
    <xf numFmtId="207" fontId="109" fillId="11" borderId="121" xfId="0" applyNumberFormat="1" applyFont="1" applyFill="1" applyBorder="1" applyAlignment="1">
      <alignment horizontal="center" vertical="center"/>
    </xf>
    <xf numFmtId="207" fontId="109" fillId="11" borderId="102" xfId="0" applyNumberFormat="1" applyFont="1" applyFill="1" applyBorder="1" applyAlignment="1">
      <alignment horizontal="center" vertical="center"/>
    </xf>
    <xf numFmtId="207" fontId="109" fillId="11" borderId="122" xfId="0" applyNumberFormat="1" applyFont="1" applyFill="1" applyBorder="1" applyAlignment="1">
      <alignment horizontal="center" vertical="center"/>
    </xf>
    <xf numFmtId="174" fontId="49" fillId="6" borderId="238" xfId="0" applyNumberFormat="1" applyFont="1" applyFill="1" applyBorder="1" applyAlignment="1">
      <alignment horizontal="center" vertical="center" textRotation="90"/>
    </xf>
    <xf numFmtId="238" fontId="79" fillId="6" borderId="171" xfId="0" applyNumberFormat="1" applyFont="1" applyFill="1" applyBorder="1" applyAlignment="1">
      <alignment horizontal="center" vertical="center"/>
    </xf>
    <xf numFmtId="238" fontId="79" fillId="6" borderId="235" xfId="0" applyNumberFormat="1" applyFont="1" applyFill="1" applyBorder="1" applyAlignment="1">
      <alignment horizontal="center" vertical="center"/>
    </xf>
    <xf numFmtId="238" fontId="79" fillId="6" borderId="236" xfId="0" applyNumberFormat="1" applyFont="1" applyFill="1" applyBorder="1" applyAlignment="1">
      <alignment horizontal="center" vertical="center"/>
    </xf>
    <xf numFmtId="4" fontId="290" fillId="0" borderId="161" xfId="0" quotePrefix="1" applyNumberFormat="1" applyFont="1" applyBorder="1" applyAlignment="1">
      <alignment horizontal="right" vertical="center"/>
    </xf>
    <xf numFmtId="4" fontId="290" fillId="0" borderId="163" xfId="0" applyNumberFormat="1" applyFont="1" applyBorder="1" applyAlignment="1">
      <alignment horizontal="right" vertical="center"/>
    </xf>
    <xf numFmtId="4" fontId="115" fillId="23" borderId="0" xfId="0" applyNumberFormat="1" applyFont="1" applyFill="1" applyAlignment="1">
      <alignment horizontal="right" vertical="center"/>
    </xf>
    <xf numFmtId="4" fontId="115" fillId="23" borderId="114" xfId="0" applyNumberFormat="1" applyFont="1" applyFill="1" applyBorder="1" applyAlignment="1">
      <alignment horizontal="right" vertical="center"/>
    </xf>
    <xf numFmtId="164" fontId="96" fillId="23" borderId="182" xfId="0" applyFont="1" applyFill="1" applyBorder="1" applyAlignment="1">
      <alignment horizontal="left" vertical="center"/>
    </xf>
    <xf numFmtId="164" fontId="96" fillId="23" borderId="114" xfId="0" applyFont="1" applyFill="1" applyBorder="1" applyAlignment="1">
      <alignment horizontal="left" vertical="center"/>
    </xf>
    <xf numFmtId="209" fontId="115" fillId="23" borderId="182" xfId="0" applyNumberFormat="1" applyFont="1" applyFill="1" applyBorder="1" applyAlignment="1">
      <alignment horizontal="left" vertical="center"/>
    </xf>
    <xf numFmtId="209" fontId="115" fillId="23" borderId="114" xfId="0" applyNumberFormat="1" applyFont="1" applyFill="1" applyBorder="1" applyAlignment="1">
      <alignment horizontal="left" vertical="center"/>
    </xf>
    <xf numFmtId="164" fontId="196" fillId="5" borderId="161" xfId="0" applyFont="1" applyFill="1" applyBorder="1" applyAlignment="1">
      <alignment horizontal="center" vertical="center"/>
    </xf>
    <xf numFmtId="164" fontId="196" fillId="5" borderId="163" xfId="0" applyFont="1" applyFill="1" applyBorder="1" applyAlignment="1">
      <alignment horizontal="center" vertical="center"/>
    </xf>
    <xf numFmtId="164" fontId="196" fillId="5" borderId="165" xfId="0" applyFont="1" applyFill="1" applyBorder="1" applyAlignment="1">
      <alignment horizontal="center" vertical="center"/>
    </xf>
    <xf numFmtId="4" fontId="80" fillId="0" borderId="148" xfId="0" quotePrefix="1" applyNumberFormat="1" applyFont="1" applyBorder="1" applyAlignment="1">
      <alignment horizontal="right" vertical="center"/>
    </xf>
    <xf numFmtId="4" fontId="80" fillId="0" borderId="149" xfId="0" applyNumberFormat="1" applyFont="1" applyBorder="1" applyAlignment="1">
      <alignment horizontal="right" vertical="center"/>
    </xf>
    <xf numFmtId="4" fontId="85" fillId="0" borderId="161" xfId="0" quotePrefix="1" applyNumberFormat="1" applyFont="1" applyBorder="1" applyAlignment="1">
      <alignment horizontal="right" vertical="center"/>
    </xf>
    <xf numFmtId="4" fontId="85" fillId="0" borderId="163" xfId="0" applyNumberFormat="1" applyFont="1" applyBorder="1" applyAlignment="1">
      <alignment horizontal="right" vertical="center"/>
    </xf>
    <xf numFmtId="14" fontId="295" fillId="0" borderId="198" xfId="0" applyNumberFormat="1" applyFont="1" applyBorder="1" applyAlignment="1">
      <alignment horizontal="left"/>
    </xf>
    <xf numFmtId="251" fontId="298" fillId="5" borderId="190" xfId="0" applyNumberFormat="1" applyFont="1" applyFill="1" applyBorder="1" applyAlignment="1">
      <alignment horizontal="left" vertical="center"/>
    </xf>
    <xf numFmtId="251" fontId="298" fillId="5" borderId="333" xfId="0" applyNumberFormat="1" applyFont="1" applyFill="1" applyBorder="1" applyAlignment="1">
      <alignment horizontal="left" vertical="center"/>
    </xf>
    <xf numFmtId="170" fontId="116" fillId="5" borderId="190" xfId="0" applyNumberFormat="1" applyFont="1" applyFill="1" applyBorder="1" applyAlignment="1">
      <alignment horizontal="left" vertical="center"/>
    </xf>
    <xf numFmtId="170" fontId="116" fillId="5" borderId="332" xfId="0" applyNumberFormat="1" applyFont="1" applyFill="1" applyBorder="1" applyAlignment="1">
      <alignment horizontal="left" vertical="center"/>
    </xf>
    <xf numFmtId="172" fontId="110" fillId="5" borderId="332" xfId="0" applyNumberFormat="1" applyFont="1" applyFill="1" applyBorder="1" applyAlignment="1">
      <alignment horizontal="center" vertical="center"/>
    </xf>
    <xf numFmtId="14" fontId="293" fillId="0" borderId="198" xfId="0" applyNumberFormat="1" applyFont="1" applyBorder="1" applyAlignment="1">
      <alignment horizontal="left"/>
    </xf>
    <xf numFmtId="169" fontId="94" fillId="14" borderId="396" xfId="0" applyNumberFormat="1" applyFont="1" applyFill="1" applyBorder="1" applyAlignment="1">
      <alignment horizontal="left" vertical="center"/>
    </xf>
    <xf numFmtId="169" fontId="94" fillId="14" borderId="413" xfId="0" applyNumberFormat="1" applyFont="1" applyFill="1" applyBorder="1" applyAlignment="1">
      <alignment horizontal="left" vertical="center"/>
    </xf>
    <xf numFmtId="169" fontId="94" fillId="14" borderId="406" xfId="0" applyNumberFormat="1" applyFont="1" applyFill="1" applyBorder="1" applyAlignment="1">
      <alignment horizontal="left" vertical="center"/>
    </xf>
    <xf numFmtId="169" fontId="94" fillId="14" borderId="414" xfId="0" applyNumberFormat="1" applyFont="1" applyFill="1" applyBorder="1" applyAlignment="1">
      <alignment horizontal="left" vertical="center"/>
    </xf>
    <xf numFmtId="6" fontId="94" fillId="14" borderId="396" xfId="0" applyNumberFormat="1" applyFont="1" applyFill="1" applyBorder="1" applyAlignment="1">
      <alignment horizontal="center" vertical="center"/>
    </xf>
    <xf numFmtId="6" fontId="94" fillId="14" borderId="397" xfId="0" applyNumberFormat="1" applyFont="1" applyFill="1" applyBorder="1" applyAlignment="1">
      <alignment horizontal="center" vertical="center"/>
    </xf>
    <xf numFmtId="6" fontId="94" fillId="14" borderId="398" xfId="0" applyNumberFormat="1" applyFont="1" applyFill="1" applyBorder="1" applyAlignment="1">
      <alignment horizontal="center" vertical="center"/>
    </xf>
    <xf numFmtId="169" fontId="94" fillId="14" borderId="417" xfId="0" applyNumberFormat="1" applyFont="1" applyFill="1" applyBorder="1" applyAlignment="1">
      <alignment horizontal="left" vertical="center"/>
    </xf>
    <xf numFmtId="169" fontId="94" fillId="14" borderId="422" xfId="0" applyNumberFormat="1" applyFont="1" applyFill="1" applyBorder="1" applyAlignment="1">
      <alignment horizontal="left" vertical="center"/>
    </xf>
    <xf numFmtId="5" fontId="94" fillId="14" borderId="406" xfId="0" applyNumberFormat="1" applyFont="1" applyFill="1" applyBorder="1" applyAlignment="1">
      <alignment horizontal="center" vertical="center"/>
    </xf>
    <xf numFmtId="5" fontId="94" fillId="14" borderId="407" xfId="0" applyNumberFormat="1" applyFont="1" applyFill="1" applyBorder="1" applyAlignment="1">
      <alignment horizontal="center" vertical="center"/>
    </xf>
    <xf numFmtId="5" fontId="94" fillId="14" borderId="408" xfId="0" applyNumberFormat="1" applyFont="1" applyFill="1" applyBorder="1" applyAlignment="1">
      <alignment horizontal="center" vertical="center"/>
    </xf>
    <xf numFmtId="169" fontId="62" fillId="14" borderId="190" xfId="0" applyNumberFormat="1" applyFont="1" applyFill="1" applyBorder="1" applyAlignment="1">
      <alignment horizontal="left" vertical="center"/>
    </xf>
    <xf numFmtId="169" fontId="62" fillId="14" borderId="333" xfId="0" applyNumberFormat="1" applyFont="1" applyFill="1" applyBorder="1" applyAlignment="1">
      <alignment horizontal="left" vertical="center"/>
    </xf>
    <xf numFmtId="4" fontId="144" fillId="11" borderId="123" xfId="0" applyNumberFormat="1" applyFont="1" applyFill="1" applyBorder="1" applyAlignment="1">
      <alignment horizontal="right" vertical="center"/>
    </xf>
    <xf numFmtId="184" fontId="126" fillId="0" borderId="144" xfId="0" applyNumberFormat="1" applyFont="1" applyBorder="1" applyAlignment="1" applyProtection="1">
      <alignment horizontal="center" vertical="center"/>
      <protection locked="0"/>
    </xf>
    <xf numFmtId="184" fontId="126" fillId="0" borderId="147" xfId="0" applyNumberFormat="1" applyFont="1" applyBorder="1" applyAlignment="1" applyProtection="1">
      <alignment horizontal="center" vertical="center"/>
      <protection locked="0"/>
    </xf>
    <xf numFmtId="184" fontId="126" fillId="0" borderId="146" xfId="0" applyNumberFormat="1" applyFont="1" applyBorder="1" applyAlignment="1" applyProtection="1">
      <alignment horizontal="center" vertical="center"/>
      <protection locked="0"/>
    </xf>
    <xf numFmtId="166" fontId="3" fillId="0" borderId="245" xfId="0" applyNumberFormat="1" applyFont="1" applyBorder="1" applyAlignment="1">
      <alignment horizontal="center"/>
    </xf>
    <xf numFmtId="4" fontId="42" fillId="0" borderId="101" xfId="0" applyNumberFormat="1" applyFont="1" applyBorder="1" applyAlignment="1">
      <alignment horizontal="center" vertical="center"/>
    </xf>
    <xf numFmtId="4" fontId="42" fillId="0" borderId="102" xfId="0" applyNumberFormat="1" applyFont="1" applyBorder="1" applyAlignment="1">
      <alignment horizontal="center" vertical="center"/>
    </xf>
    <xf numFmtId="4" fontId="42" fillId="0" borderId="103" xfId="0" applyNumberFormat="1" applyFont="1" applyBorder="1" applyAlignment="1">
      <alignment horizontal="center" vertical="center"/>
    </xf>
    <xf numFmtId="166" fontId="106" fillId="6" borderId="121" xfId="0" applyNumberFormat="1" applyFont="1" applyFill="1" applyBorder="1" applyAlignment="1">
      <alignment horizontal="center" vertical="center"/>
    </xf>
    <xf numFmtId="166" fontId="106" fillId="6" borderId="122" xfId="0" applyNumberFormat="1" applyFont="1" applyFill="1" applyBorder="1" applyAlignment="1">
      <alignment horizontal="center" vertical="center"/>
    </xf>
    <xf numFmtId="166" fontId="15" fillId="6" borderId="62" xfId="0" applyNumberFormat="1" applyFont="1" applyFill="1" applyBorder="1" applyAlignment="1">
      <alignment horizontal="center" vertical="center"/>
    </xf>
    <xf numFmtId="166" fontId="15" fillId="6" borderId="66" xfId="0" applyNumberFormat="1" applyFont="1" applyFill="1" applyBorder="1" applyAlignment="1">
      <alignment horizontal="center" vertical="center"/>
    </xf>
    <xf numFmtId="4" fontId="19" fillId="0" borderId="101" xfId="0" applyNumberFormat="1" applyFont="1" applyBorder="1" applyAlignment="1">
      <alignment horizontal="center" vertical="center"/>
    </xf>
    <xf numFmtId="4" fontId="19" fillId="0" borderId="102" xfId="0" applyNumberFormat="1" applyFont="1" applyBorder="1" applyAlignment="1">
      <alignment horizontal="center" vertical="center"/>
    </xf>
    <xf numFmtId="4" fontId="19" fillId="0" borderId="103" xfId="0" applyNumberFormat="1" applyFont="1" applyBorder="1" applyAlignment="1">
      <alignment horizontal="center" vertical="center"/>
    </xf>
    <xf numFmtId="4" fontId="61" fillId="13" borderId="22" xfId="0" applyNumberFormat="1" applyFont="1" applyFill="1" applyBorder="1" applyAlignment="1">
      <alignment horizontal="center" vertical="center"/>
    </xf>
    <xf numFmtId="4" fontId="61" fillId="13" borderId="23" xfId="0" applyNumberFormat="1" applyFont="1" applyFill="1" applyBorder="1" applyAlignment="1">
      <alignment horizontal="center" vertical="center"/>
    </xf>
    <xf numFmtId="4" fontId="61" fillId="13" borderId="24" xfId="0" applyNumberFormat="1" applyFont="1" applyFill="1" applyBorder="1" applyAlignment="1">
      <alignment horizontal="center" vertical="center"/>
    </xf>
    <xf numFmtId="4" fontId="15" fillId="12" borderId="81" xfId="2" applyNumberFormat="1" applyFont="1" applyFill="1" applyBorder="1" applyAlignment="1" applyProtection="1">
      <alignment horizontal="left" vertical="center"/>
    </xf>
    <xf numFmtId="184" fontId="126" fillId="0" borderId="101" xfId="0" applyNumberFormat="1" applyFont="1" applyBorder="1" applyAlignment="1" applyProtection="1">
      <alignment horizontal="center" vertical="center"/>
      <protection locked="0"/>
    </xf>
    <xf numFmtId="184" fontId="126" fillId="0" borderId="102" xfId="0" applyNumberFormat="1" applyFont="1" applyBorder="1" applyAlignment="1" applyProtection="1">
      <alignment horizontal="center" vertical="center"/>
      <protection locked="0"/>
    </xf>
    <xf numFmtId="184" fontId="126" fillId="0" borderId="103" xfId="0" applyNumberFormat="1" applyFont="1" applyBorder="1" applyAlignment="1" applyProtection="1">
      <alignment horizontal="center" vertical="center"/>
      <protection locked="0"/>
    </xf>
    <xf numFmtId="4" fontId="15" fillId="12" borderId="81" xfId="2" applyNumberFormat="1" applyFont="1" applyFill="1" applyBorder="1" applyAlignment="1" applyProtection="1">
      <alignment horizontal="right" vertical="center"/>
    </xf>
    <xf numFmtId="166" fontId="124" fillId="0" borderId="9" xfId="0" applyNumberFormat="1" applyFont="1" applyBorder="1" applyAlignment="1">
      <alignment horizontal="left" vertical="center"/>
    </xf>
    <xf numFmtId="4" fontId="126" fillId="0" borderId="101" xfId="0" applyNumberFormat="1" applyFont="1" applyBorder="1" applyAlignment="1">
      <alignment horizontal="center" vertical="center"/>
    </xf>
    <xf numFmtId="4" fontId="126" fillId="0" borderId="102" xfId="0" applyNumberFormat="1" applyFont="1" applyBorder="1" applyAlignment="1">
      <alignment horizontal="center" vertical="center"/>
    </xf>
    <xf numFmtId="4" fontId="126" fillId="0" borderId="103" xfId="0" applyNumberFormat="1" applyFont="1" applyBorder="1" applyAlignment="1">
      <alignment horizontal="center" vertical="center"/>
    </xf>
    <xf numFmtId="4" fontId="126" fillId="31" borderId="201" xfId="2" applyNumberFormat="1" applyFont="1" applyFill="1" applyBorder="1" applyAlignment="1" applyProtection="1">
      <alignment horizontal="right" vertical="center"/>
    </xf>
    <xf numFmtId="4" fontId="61" fillId="31" borderId="81" xfId="2" applyNumberFormat="1" applyFont="1" applyFill="1" applyBorder="1" applyAlignment="1" applyProtection="1">
      <alignment horizontal="left" vertical="center"/>
    </xf>
    <xf numFmtId="211" fontId="26" fillId="0" borderId="207" xfId="0" applyNumberFormat="1" applyFont="1" applyBorder="1" applyAlignment="1" applyProtection="1">
      <alignment horizontal="center" vertical="center"/>
      <protection locked="0"/>
    </xf>
    <xf numFmtId="166" fontId="148" fillId="0" borderId="0" xfId="0" applyNumberFormat="1" applyFont="1" applyAlignment="1">
      <alignment horizontal="left" vertical="center"/>
    </xf>
    <xf numFmtId="4" fontId="106" fillId="0" borderId="101" xfId="0" applyNumberFormat="1" applyFont="1" applyBorder="1" applyAlignment="1">
      <alignment horizontal="center" vertical="center"/>
    </xf>
    <xf numFmtId="4" fontId="106" fillId="0" borderId="102" xfId="0" applyNumberFormat="1" applyFont="1" applyBorder="1" applyAlignment="1">
      <alignment horizontal="center" vertical="center"/>
    </xf>
    <xf numFmtId="4" fontId="106" fillId="0" borderId="103" xfId="0" applyNumberFormat="1" applyFont="1" applyBorder="1" applyAlignment="1">
      <alignment horizontal="center" vertical="center"/>
    </xf>
    <xf numFmtId="4" fontId="17" fillId="0" borderId="101" xfId="0" applyNumberFormat="1" applyFont="1" applyBorder="1" applyAlignment="1">
      <alignment horizontal="center" vertical="center"/>
    </xf>
    <xf numFmtId="4" fontId="17" fillId="0" borderId="102" xfId="0" applyNumberFormat="1" applyFont="1" applyBorder="1" applyAlignment="1">
      <alignment horizontal="center" vertical="center"/>
    </xf>
    <xf numFmtId="4" fontId="17" fillId="0" borderId="103" xfId="0" applyNumberFormat="1" applyFont="1" applyBorder="1" applyAlignment="1">
      <alignment horizontal="center" vertical="center"/>
    </xf>
    <xf numFmtId="168" fontId="115" fillId="27" borderId="121" xfId="6" applyNumberFormat="1" applyFont="1" applyFill="1" applyBorder="1" applyAlignment="1" applyProtection="1">
      <alignment horizontal="center" vertical="center"/>
      <protection locked="0"/>
    </xf>
    <xf numFmtId="168" fontId="115" fillId="27" borderId="122" xfId="6" applyNumberFormat="1" applyFont="1" applyFill="1" applyBorder="1" applyAlignment="1" applyProtection="1">
      <alignment horizontal="center" vertical="center"/>
      <protection locked="0"/>
    </xf>
    <xf numFmtId="166" fontId="122" fillId="0" borderId="0" xfId="0" applyNumberFormat="1" applyFont="1" applyAlignment="1">
      <alignment horizontal="left" vertical="top"/>
    </xf>
    <xf numFmtId="4" fontId="47" fillId="0" borderId="0" xfId="0" applyNumberFormat="1" applyFont="1" applyAlignment="1">
      <alignment horizontal="center"/>
    </xf>
    <xf numFmtId="166" fontId="212" fillId="15" borderId="243" xfId="8" applyNumberFormat="1" applyFont="1" applyFill="1" applyBorder="1" applyAlignment="1" applyProtection="1">
      <alignment horizontal="center" vertical="center" wrapText="1"/>
    </xf>
    <xf numFmtId="166" fontId="212" fillId="15" borderId="246" xfId="8" applyNumberFormat="1" applyFont="1" applyFill="1" applyBorder="1" applyAlignment="1" applyProtection="1">
      <alignment horizontal="center" vertical="center" wrapText="1"/>
    </xf>
    <xf numFmtId="166" fontId="212" fillId="15" borderId="249" xfId="8" applyNumberFormat="1" applyFont="1" applyFill="1" applyBorder="1" applyAlignment="1" applyProtection="1">
      <alignment horizontal="center" vertical="center" wrapText="1"/>
    </xf>
    <xf numFmtId="164" fontId="204" fillId="35" borderId="244" xfId="0" applyFont="1" applyFill="1" applyBorder="1" applyAlignment="1">
      <alignment horizontal="center" vertical="center" wrapText="1"/>
    </xf>
    <xf numFmtId="164" fontId="204" fillId="35" borderId="250" xfId="0" applyFont="1" applyFill="1" applyBorder="1" applyAlignment="1">
      <alignment horizontal="center" vertical="center" wrapText="1"/>
    </xf>
    <xf numFmtId="164" fontId="204" fillId="35" borderId="247" xfId="0" applyFont="1" applyFill="1" applyBorder="1" applyAlignment="1">
      <alignment horizontal="center" vertical="center" wrapText="1"/>
    </xf>
    <xf numFmtId="164" fontId="204" fillId="35" borderId="203" xfId="0" applyFont="1" applyFill="1" applyBorder="1" applyAlignment="1">
      <alignment horizontal="center" vertical="center" wrapText="1"/>
    </xf>
    <xf numFmtId="164" fontId="204" fillId="35" borderId="245" xfId="0" applyFont="1" applyFill="1" applyBorder="1" applyAlignment="1">
      <alignment horizontal="center" vertical="center" wrapText="1"/>
    </xf>
    <xf numFmtId="164" fontId="204" fillId="35" borderId="240" xfId="0" applyFont="1" applyFill="1" applyBorder="1" applyAlignment="1">
      <alignment horizontal="center" vertical="center" wrapText="1"/>
    </xf>
    <xf numFmtId="174" fontId="169" fillId="14" borderId="246" xfId="6" quotePrefix="1" applyNumberFormat="1" applyFont="1" applyFill="1" applyBorder="1" applyAlignment="1" applyProtection="1">
      <alignment horizontal="left" vertical="top"/>
    </xf>
    <xf numFmtId="200" fontId="53" fillId="5" borderId="246" xfId="0" applyNumberFormat="1" applyFont="1" applyFill="1" applyBorder="1" applyAlignment="1">
      <alignment horizontal="left" vertical="center"/>
    </xf>
    <xf numFmtId="200" fontId="53" fillId="5" borderId="249" xfId="0" applyNumberFormat="1" applyFont="1" applyFill="1" applyBorder="1" applyAlignment="1">
      <alignment horizontal="left" vertical="center"/>
    </xf>
    <xf numFmtId="173" fontId="155" fillId="17" borderId="243" xfId="0" applyNumberFormat="1" applyFont="1" applyFill="1" applyBorder="1" applyAlignment="1">
      <alignment horizontal="left" vertical="center"/>
    </xf>
    <xf numFmtId="173" fontId="155" fillId="17" borderId="246" xfId="0" applyNumberFormat="1" applyFont="1" applyFill="1" applyBorder="1" applyAlignment="1">
      <alignment horizontal="left" vertical="center"/>
    </xf>
    <xf numFmtId="173" fontId="155" fillId="17" borderId="249" xfId="0" applyNumberFormat="1" applyFont="1" applyFill="1" applyBorder="1" applyAlignment="1">
      <alignment horizontal="left" vertical="center"/>
    </xf>
    <xf numFmtId="173" fontId="155" fillId="17" borderId="243" xfId="0" applyNumberFormat="1" applyFont="1" applyFill="1" applyBorder="1" applyAlignment="1">
      <alignment horizontal="right" vertical="center"/>
    </xf>
    <xf numFmtId="173" fontId="155" fillId="17" borderId="249" xfId="0" applyNumberFormat="1" applyFont="1" applyFill="1" applyBorder="1" applyAlignment="1">
      <alignment horizontal="right" vertical="center"/>
    </xf>
    <xf numFmtId="173" fontId="118" fillId="14" borderId="18" xfId="0" applyNumberFormat="1" applyFont="1" applyFill="1" applyBorder="1" applyAlignment="1">
      <alignment horizontal="left" vertical="center"/>
    </xf>
    <xf numFmtId="173" fontId="118" fillId="14" borderId="0" xfId="0" applyNumberFormat="1" applyFont="1" applyFill="1" applyAlignment="1">
      <alignment horizontal="left" vertical="center"/>
    </xf>
    <xf numFmtId="173" fontId="118" fillId="14" borderId="243" xfId="0" applyNumberFormat="1" applyFont="1" applyFill="1" applyBorder="1" applyAlignment="1">
      <alignment horizontal="left" vertical="center"/>
    </xf>
    <xf numFmtId="173" fontId="118" fillId="14" borderId="246" xfId="0" applyNumberFormat="1" applyFont="1" applyFill="1" applyBorder="1" applyAlignment="1">
      <alignment horizontal="left" vertical="center"/>
    </xf>
    <xf numFmtId="8" fontId="155" fillId="31" borderId="358" xfId="0" applyNumberFormat="1" applyFont="1" applyFill="1" applyBorder="1" applyAlignment="1">
      <alignment horizontal="right" vertical="center"/>
    </xf>
    <xf numFmtId="8" fontId="155" fillId="31" borderId="359" xfId="0" applyNumberFormat="1" applyFont="1" applyFill="1" applyBorder="1" applyAlignment="1">
      <alignment horizontal="right" vertical="center"/>
    </xf>
    <xf numFmtId="166" fontId="207" fillId="14" borderId="0" xfId="0" applyNumberFormat="1" applyFont="1" applyFill="1" applyAlignment="1">
      <alignment horizontal="left" vertical="center"/>
    </xf>
    <xf numFmtId="166" fontId="76" fillId="17" borderId="248" xfId="0" applyNumberFormat="1" applyFont="1" applyFill="1" applyBorder="1" applyAlignment="1">
      <alignment horizontal="center" vertical="center" textRotation="90"/>
    </xf>
    <xf numFmtId="166" fontId="76" fillId="17" borderId="217" xfId="0" applyNumberFormat="1" applyFont="1" applyFill="1" applyBorder="1" applyAlignment="1">
      <alignment horizontal="center" vertical="center" textRotation="90"/>
    </xf>
    <xf numFmtId="166" fontId="155" fillId="14" borderId="243" xfId="0" quotePrefix="1" applyNumberFormat="1" applyFont="1" applyFill="1" applyBorder="1" applyAlignment="1">
      <alignment horizontal="left" vertical="center" wrapText="1"/>
    </xf>
    <xf numFmtId="166" fontId="155" fillId="14" borderId="246" xfId="0" quotePrefix="1" applyNumberFormat="1" applyFont="1" applyFill="1" applyBorder="1" applyAlignment="1">
      <alignment horizontal="left" vertical="center" wrapText="1"/>
    </xf>
    <xf numFmtId="173" fontId="118" fillId="14" borderId="203" xfId="0" applyNumberFormat="1" applyFont="1" applyFill="1" applyBorder="1" applyAlignment="1">
      <alignment horizontal="left" vertical="center"/>
    </xf>
    <xf numFmtId="173" fontId="118" fillId="14" borderId="245" xfId="0" applyNumberFormat="1" applyFont="1" applyFill="1" applyBorder="1" applyAlignment="1">
      <alignment horizontal="left" vertical="center"/>
    </xf>
    <xf numFmtId="164" fontId="206" fillId="0" borderId="245" xfId="0" applyFont="1" applyBorder="1" applyAlignment="1">
      <alignment horizontal="left" vertical="center"/>
    </xf>
    <xf numFmtId="164" fontId="253" fillId="0" borderId="245" xfId="0" applyFont="1" applyBorder="1" applyAlignment="1">
      <alignment horizontal="right" vertical="center"/>
    </xf>
    <xf numFmtId="166" fontId="155" fillId="17" borderId="243" xfId="0" quotePrefix="1" applyNumberFormat="1" applyFont="1" applyFill="1" applyBorder="1" applyAlignment="1">
      <alignment horizontal="left" vertical="center" wrapText="1"/>
    </xf>
    <xf numFmtId="166" fontId="155" fillId="17" borderId="246" xfId="0" quotePrefix="1" applyNumberFormat="1" applyFont="1" applyFill="1" applyBorder="1" applyAlignment="1">
      <alignment horizontal="left" vertical="center"/>
    </xf>
    <xf numFmtId="166" fontId="155" fillId="0" borderId="250" xfId="0" quotePrefix="1" applyNumberFormat="1" applyFont="1" applyBorder="1" applyAlignment="1">
      <alignment horizontal="left" vertical="top" wrapText="1"/>
    </xf>
    <xf numFmtId="1" fontId="98" fillId="5" borderId="243" xfId="0" applyNumberFormat="1" applyFont="1" applyFill="1" applyBorder="1" applyAlignment="1">
      <alignment horizontal="left" vertical="center"/>
    </xf>
    <xf numFmtId="1" fontId="98" fillId="5" borderId="246" xfId="0" applyNumberFormat="1" applyFont="1" applyFill="1" applyBorder="1" applyAlignment="1">
      <alignment horizontal="left" vertical="center"/>
    </xf>
    <xf numFmtId="1" fontId="98" fillId="5" borderId="249" xfId="0" applyNumberFormat="1" applyFont="1" applyFill="1" applyBorder="1" applyAlignment="1">
      <alignment horizontal="left" vertical="center"/>
    </xf>
    <xf numFmtId="174" fontId="155" fillId="14" borderId="243" xfId="0" applyNumberFormat="1" applyFont="1" applyFill="1" applyBorder="1" applyAlignment="1">
      <alignment horizontal="left" vertical="center"/>
    </xf>
    <xf numFmtId="174" fontId="155" fillId="14" borderId="246" xfId="0" applyNumberFormat="1" applyFont="1" applyFill="1" applyBorder="1" applyAlignment="1">
      <alignment horizontal="left" vertical="center"/>
    </xf>
    <xf numFmtId="174" fontId="155" fillId="14" borderId="249" xfId="0" applyNumberFormat="1" applyFont="1" applyFill="1" applyBorder="1" applyAlignment="1">
      <alignment horizontal="left" vertical="center"/>
    </xf>
    <xf numFmtId="166" fontId="7" fillId="14" borderId="244" xfId="0" applyNumberFormat="1" applyFont="1" applyFill="1" applyBorder="1" applyAlignment="1">
      <alignment horizontal="center" vertical="center"/>
    </xf>
    <xf numFmtId="166" fontId="7" fillId="14" borderId="250" xfId="0" applyNumberFormat="1" applyFont="1" applyFill="1" applyBorder="1" applyAlignment="1">
      <alignment horizontal="center" vertical="center"/>
    </xf>
    <xf numFmtId="166" fontId="7" fillId="14" borderId="247" xfId="0" applyNumberFormat="1" applyFont="1" applyFill="1" applyBorder="1" applyAlignment="1">
      <alignment horizontal="center" vertical="center"/>
    </xf>
    <xf numFmtId="166" fontId="191" fillId="0" borderId="250" xfId="0" applyNumberFormat="1" applyFont="1" applyBorder="1" applyAlignment="1">
      <alignment horizontal="center" vertical="center"/>
    </xf>
    <xf numFmtId="173" fontId="132" fillId="17" borderId="243" xfId="0" applyNumberFormat="1" applyFont="1" applyFill="1" applyBorder="1" applyAlignment="1">
      <alignment horizontal="left" vertical="center"/>
    </xf>
    <xf numFmtId="173" fontId="132" fillId="17" borderId="246" xfId="0" applyNumberFormat="1" applyFont="1" applyFill="1" applyBorder="1" applyAlignment="1">
      <alignment horizontal="left" vertical="center"/>
    </xf>
    <xf numFmtId="173" fontId="132" fillId="17" borderId="249" xfId="0" applyNumberFormat="1" applyFont="1" applyFill="1" applyBorder="1" applyAlignment="1">
      <alignment horizontal="left" vertical="center"/>
    </xf>
    <xf numFmtId="166" fontId="212" fillId="15" borderId="294" xfId="8" applyNumberFormat="1" applyFont="1" applyFill="1" applyBorder="1" applyAlignment="1" applyProtection="1">
      <alignment horizontal="center" vertical="center" wrapText="1"/>
    </xf>
    <xf numFmtId="166" fontId="212" fillId="15" borderId="218" xfId="8" applyNumberFormat="1" applyFont="1" applyFill="1" applyBorder="1" applyAlignment="1" applyProtection="1">
      <alignment horizontal="center" vertical="center" wrapText="1"/>
    </xf>
    <xf numFmtId="168" fontId="264" fillId="0" borderId="0" xfId="0" quotePrefix="1" applyNumberFormat="1" applyFont="1" applyAlignment="1">
      <alignment horizontal="right"/>
    </xf>
    <xf numFmtId="168" fontId="264" fillId="0" borderId="5" xfId="0" quotePrefix="1" applyNumberFormat="1" applyFont="1" applyBorder="1" applyAlignment="1">
      <alignment horizontal="right"/>
    </xf>
    <xf numFmtId="14" fontId="166" fillId="0" borderId="0" xfId="0" applyNumberFormat="1" applyFont="1" applyAlignment="1">
      <alignment horizontal="left" vertical="center"/>
    </xf>
    <xf numFmtId="1" fontId="210" fillId="6" borderId="63" xfId="0" applyNumberFormat="1" applyFont="1" applyFill="1" applyBorder="1" applyAlignment="1">
      <alignment horizontal="left" vertical="center"/>
    </xf>
    <xf numFmtId="1" fontId="210" fillId="6" borderId="95" xfId="0" applyNumberFormat="1" applyFont="1" applyFill="1" applyBorder="1" applyAlignment="1">
      <alignment horizontal="left" vertical="center"/>
    </xf>
    <xf numFmtId="1" fontId="210" fillId="6" borderId="290" xfId="0" applyNumberFormat="1" applyFont="1" applyFill="1" applyBorder="1" applyAlignment="1">
      <alignment horizontal="left" vertical="center"/>
    </xf>
    <xf numFmtId="166" fontId="275" fillId="6" borderId="41" xfId="0" applyNumberFormat="1" applyFont="1" applyFill="1" applyBorder="1" applyAlignment="1">
      <alignment horizontal="left" vertical="center" wrapText="1"/>
    </xf>
    <xf numFmtId="166" fontId="275" fillId="6" borderId="293" xfId="0" applyNumberFormat="1" applyFont="1" applyFill="1" applyBorder="1" applyAlignment="1">
      <alignment horizontal="left" vertical="center"/>
    </xf>
    <xf numFmtId="164" fontId="19" fillId="0" borderId="245" xfId="0" applyFont="1" applyBorder="1" applyAlignment="1">
      <alignment horizontal="left" vertical="top"/>
    </xf>
    <xf numFmtId="14" fontId="230" fillId="32" borderId="137" xfId="0" applyNumberFormat="1" applyFont="1" applyFill="1" applyBorder="1" applyAlignment="1">
      <alignment horizontal="left" vertical="center"/>
    </xf>
    <xf numFmtId="164" fontId="19" fillId="0" borderId="0" xfId="0" applyFont="1" applyAlignment="1">
      <alignment horizontal="left" vertical="center"/>
    </xf>
    <xf numFmtId="164" fontId="273" fillId="0" borderId="0" xfId="0" applyFont="1" applyAlignment="1">
      <alignment horizontal="left" vertical="top"/>
    </xf>
    <xf numFmtId="164" fontId="273" fillId="0" borderId="0" xfId="0" applyFont="1" applyAlignment="1">
      <alignment horizontal="left" vertical="center"/>
    </xf>
    <xf numFmtId="164" fontId="204" fillId="0" borderId="0" xfId="0" applyFont="1" applyAlignment="1">
      <alignment horizontal="center" vertical="center"/>
    </xf>
    <xf numFmtId="164" fontId="204" fillId="0" borderId="0" xfId="0" applyFont="1" applyAlignment="1">
      <alignment horizontal="left" vertical="center"/>
    </xf>
    <xf numFmtId="166" fontId="234" fillId="6" borderId="41" xfId="0" applyNumberFormat="1" applyFont="1" applyFill="1" applyBorder="1" applyAlignment="1">
      <alignment horizontal="left" vertical="center" wrapText="1"/>
    </xf>
    <xf numFmtId="166" fontId="234" fillId="6" borderId="293" xfId="0" applyNumberFormat="1" applyFont="1" applyFill="1" applyBorder="1" applyAlignment="1">
      <alignment horizontal="left" vertical="center"/>
    </xf>
    <xf numFmtId="186" fontId="237" fillId="6" borderId="292" xfId="0" applyNumberFormat="1" applyFont="1" applyFill="1" applyBorder="1" applyAlignment="1">
      <alignment horizontal="left" vertical="center"/>
    </xf>
    <xf numFmtId="186" fontId="237" fillId="6" borderId="342" xfId="0" applyNumberFormat="1" applyFont="1" applyFill="1" applyBorder="1" applyAlignment="1">
      <alignment horizontal="left" vertical="center"/>
    </xf>
    <xf numFmtId="186" fontId="239" fillId="6" borderId="292" xfId="0" applyNumberFormat="1" applyFont="1" applyFill="1" applyBorder="1" applyAlignment="1">
      <alignment horizontal="left" vertical="center"/>
    </xf>
    <xf numFmtId="185" fontId="240" fillId="6" borderId="292" xfId="0" applyNumberFormat="1" applyFont="1" applyFill="1" applyBorder="1" applyAlignment="1">
      <alignment horizontal="center" vertical="center"/>
    </xf>
    <xf numFmtId="178" fontId="240" fillId="6" borderId="292" xfId="0" applyNumberFormat="1" applyFont="1" applyFill="1" applyBorder="1" applyAlignment="1">
      <alignment horizontal="center" vertical="center"/>
    </xf>
    <xf numFmtId="14" fontId="155" fillId="0" borderId="127" xfId="0" applyNumberFormat="1" applyFont="1" applyBorder="1" applyAlignment="1">
      <alignment horizontal="left" vertical="center"/>
    </xf>
    <xf numFmtId="4" fontId="155" fillId="0" borderId="127" xfId="0" quotePrefix="1" applyNumberFormat="1" applyFont="1" applyBorder="1" applyAlignment="1">
      <alignment horizontal="left" vertical="center"/>
    </xf>
    <xf numFmtId="166" fontId="226" fillId="17" borderId="347" xfId="0" applyNumberFormat="1" applyFont="1" applyFill="1" applyBorder="1" applyAlignment="1">
      <alignment horizontal="center" vertical="center"/>
    </xf>
    <xf numFmtId="166" fontId="226" fillId="17" borderId="183" xfId="0" applyNumberFormat="1" applyFont="1" applyFill="1" applyBorder="1" applyAlignment="1">
      <alignment horizontal="center" vertical="center"/>
    </xf>
    <xf numFmtId="168" fontId="155" fillId="0" borderId="270" xfId="0" applyNumberFormat="1" applyFont="1" applyBorder="1" applyAlignment="1">
      <alignment horizontal="right" vertical="top"/>
    </xf>
    <xf numFmtId="169" fontId="155" fillId="0" borderId="0" xfId="0" applyNumberFormat="1" applyFont="1" applyAlignment="1">
      <alignment horizontal="left" indent="1"/>
    </xf>
    <xf numFmtId="165" fontId="131" fillId="14" borderId="49" xfId="0" applyNumberFormat="1" applyFont="1" applyFill="1" applyBorder="1" applyAlignment="1">
      <alignment horizontal="center" vertical="center"/>
    </xf>
    <xf numFmtId="165" fontId="131" fillId="14" borderId="137" xfId="0" applyNumberFormat="1" applyFont="1" applyFill="1" applyBorder="1" applyAlignment="1">
      <alignment horizontal="center" vertical="center"/>
    </xf>
    <xf numFmtId="165" fontId="131" fillId="14" borderId="13" xfId="0" applyNumberFormat="1" applyFont="1" applyFill="1" applyBorder="1" applyAlignment="1">
      <alignment horizontal="center" vertical="center"/>
    </xf>
    <xf numFmtId="165" fontId="131" fillId="14" borderId="343" xfId="0" applyNumberFormat="1" applyFont="1" applyFill="1" applyBorder="1" applyAlignment="1">
      <alignment horizontal="center" vertical="center"/>
    </xf>
    <xf numFmtId="165" fontId="131" fillId="14" borderId="259" xfId="0" applyNumberFormat="1" applyFont="1" applyFill="1" applyBorder="1" applyAlignment="1">
      <alignment horizontal="center" vertical="center"/>
    </xf>
    <xf numFmtId="166" fontId="105" fillId="17" borderId="274" xfId="0" applyNumberFormat="1" applyFont="1" applyFill="1" applyBorder="1" applyAlignment="1">
      <alignment horizontal="center" vertical="center"/>
    </xf>
    <xf numFmtId="166" fontId="105" fillId="17" borderId="275" xfId="0" applyNumberFormat="1" applyFont="1" applyFill="1" applyBorder="1" applyAlignment="1">
      <alignment horizontal="center" vertical="center"/>
    </xf>
    <xf numFmtId="213" fontId="155" fillId="14" borderId="38" xfId="2" quotePrefix="1" applyNumberFormat="1" applyFont="1" applyFill="1" applyBorder="1" applyAlignment="1" applyProtection="1">
      <alignment horizontal="left" vertical="center" wrapText="1"/>
    </xf>
    <xf numFmtId="213" fontId="155" fillId="14" borderId="40" xfId="2" quotePrefix="1" applyNumberFormat="1" applyFont="1" applyFill="1" applyBorder="1" applyAlignment="1" applyProtection="1">
      <alignment horizontal="left" vertical="center"/>
    </xf>
    <xf numFmtId="213" fontId="155" fillId="14" borderId="276" xfId="2" quotePrefix="1" applyNumberFormat="1" applyFont="1" applyFill="1" applyBorder="1" applyAlignment="1" applyProtection="1">
      <alignment horizontal="left" vertical="center"/>
    </xf>
    <xf numFmtId="213" fontId="155" fillId="14" borderId="237" xfId="2" quotePrefix="1" applyNumberFormat="1" applyFont="1" applyFill="1" applyBorder="1" applyAlignment="1" applyProtection="1">
      <alignment horizontal="left" vertical="center"/>
    </xf>
    <xf numFmtId="166" fontId="46" fillId="14" borderId="137" xfId="0" applyNumberFormat="1" applyFont="1" applyFill="1" applyBorder="1" applyAlignment="1">
      <alignment horizontal="right" vertical="center"/>
    </xf>
    <xf numFmtId="166" fontId="46" fillId="14" borderId="259" xfId="0" applyNumberFormat="1" applyFont="1" applyFill="1" applyBorder="1" applyAlignment="1">
      <alignment horizontal="right" vertical="center"/>
    </xf>
    <xf numFmtId="165" fontId="224" fillId="6" borderId="344" xfId="0" applyNumberFormat="1" applyFont="1" applyFill="1" applyBorder="1" applyAlignment="1">
      <alignment horizontal="left" vertical="center"/>
    </xf>
    <xf numFmtId="165" fontId="224" fillId="6" borderId="169" xfId="0" applyNumberFormat="1" applyFont="1" applyFill="1" applyBorder="1" applyAlignment="1">
      <alignment horizontal="left" vertical="center"/>
    </xf>
    <xf numFmtId="165" fontId="153" fillId="14" borderId="345" xfId="0" applyNumberFormat="1" applyFont="1" applyFill="1" applyBorder="1" applyAlignment="1">
      <alignment horizontal="left" vertical="center"/>
    </xf>
    <xf numFmtId="165" fontId="153" fillId="14" borderId="346" xfId="0" applyNumberFormat="1" applyFont="1" applyFill="1" applyBorder="1" applyAlignment="1">
      <alignment horizontal="left" vertical="center"/>
    </xf>
    <xf numFmtId="169" fontId="155" fillId="0" borderId="0" xfId="0" applyNumberFormat="1" applyFont="1" applyAlignment="1">
      <alignment horizontal="left" vertical="top"/>
    </xf>
    <xf numFmtId="169" fontId="155" fillId="0" borderId="0" xfId="0" applyNumberFormat="1" applyFont="1" applyAlignment="1">
      <alignment horizontal="center" vertical="top"/>
    </xf>
    <xf numFmtId="164" fontId="262" fillId="0" borderId="0" xfId="0" applyFont="1" applyAlignment="1">
      <alignment horizontal="right" vertical="center"/>
    </xf>
    <xf numFmtId="0" fontId="155" fillId="0" borderId="0" xfId="0" applyNumberFormat="1" applyFont="1" applyAlignment="1">
      <alignment horizontal="left" vertical="top"/>
    </xf>
    <xf numFmtId="179" fontId="224" fillId="6" borderId="277" xfId="0" applyNumberFormat="1" applyFont="1" applyFill="1" applyBorder="1" applyAlignment="1">
      <alignment horizontal="center" vertical="center"/>
    </xf>
    <xf numFmtId="179" fontId="224" fillId="6" borderId="70" xfId="0" applyNumberFormat="1" applyFont="1" applyFill="1" applyBorder="1" applyAlignment="1">
      <alignment horizontal="center" vertical="center"/>
    </xf>
    <xf numFmtId="164" fontId="206" fillId="0" borderId="361" xfId="0" applyFont="1" applyBorder="1" applyAlignment="1">
      <alignment horizontal="left" vertical="center"/>
    </xf>
    <xf numFmtId="164" fontId="155" fillId="0" borderId="0" xfId="0" applyFont="1" applyAlignment="1">
      <alignment vertical="center"/>
    </xf>
    <xf numFmtId="172" fontId="110" fillId="5" borderId="271" xfId="0" applyNumberFormat="1" applyFont="1" applyFill="1" applyBorder="1" applyAlignment="1">
      <alignment horizontal="right" vertical="center"/>
    </xf>
    <xf numFmtId="172" fontId="110" fillId="5" borderId="127" xfId="0" applyNumberFormat="1" applyFont="1" applyFill="1" applyBorder="1" applyAlignment="1">
      <alignment horizontal="right" vertical="center"/>
    </xf>
    <xf numFmtId="172" fontId="262" fillId="5" borderId="169" xfId="0" applyNumberFormat="1" applyFont="1" applyFill="1" applyBorder="1" applyAlignment="1">
      <alignment horizontal="right" vertical="center" wrapText="1"/>
    </xf>
    <xf numFmtId="172" fontId="262" fillId="5" borderId="252" xfId="0" applyNumberFormat="1" applyFont="1" applyFill="1" applyBorder="1" applyAlignment="1">
      <alignment horizontal="right" vertical="center" wrapText="1"/>
    </xf>
    <xf numFmtId="172" fontId="110" fillId="5" borderId="175" xfId="0" applyNumberFormat="1" applyFont="1" applyFill="1" applyBorder="1" applyAlignment="1">
      <alignment horizontal="right" vertical="center"/>
    </xf>
    <xf numFmtId="172" fontId="110" fillId="5" borderId="169" xfId="0" applyNumberFormat="1" applyFont="1" applyFill="1" applyBorder="1" applyAlignment="1">
      <alignment horizontal="right" vertical="center"/>
    </xf>
    <xf numFmtId="0" fontId="155" fillId="0" borderId="0" xfId="0" applyNumberFormat="1" applyFont="1" applyAlignment="1">
      <alignment horizontal="right" vertical="center"/>
    </xf>
    <xf numFmtId="0" fontId="155" fillId="0" borderId="5" xfId="0" applyNumberFormat="1" applyFont="1" applyBorder="1" applyAlignment="1">
      <alignment horizontal="right" vertical="center"/>
    </xf>
    <xf numFmtId="166" fontId="264" fillId="0" borderId="18" xfId="0" applyNumberFormat="1" applyFont="1" applyBorder="1" applyAlignment="1">
      <alignment horizontal="left" vertical="center" wrapText="1"/>
    </xf>
    <xf numFmtId="166" fontId="264" fillId="0" borderId="0" xfId="0" applyNumberFormat="1" applyFont="1" applyAlignment="1">
      <alignment horizontal="left" vertical="center" wrapText="1"/>
    </xf>
    <xf numFmtId="164" fontId="260" fillId="0" borderId="270" xfId="0" applyFont="1" applyBorder="1" applyAlignment="1">
      <alignment horizontal="left" vertical="top"/>
    </xf>
    <xf numFmtId="169" fontId="156" fillId="0" borderId="0" xfId="0" applyNumberFormat="1" applyFont="1" applyAlignment="1">
      <alignment horizontal="left" vertical="center"/>
    </xf>
    <xf numFmtId="165" fontId="18" fillId="17" borderId="205" xfId="0" applyNumberFormat="1" applyFont="1" applyFill="1" applyBorder="1" applyAlignment="1">
      <alignment horizontal="left" vertical="center"/>
    </xf>
    <xf numFmtId="165" fontId="18" fillId="17" borderId="350" xfId="0" applyNumberFormat="1" applyFont="1" applyFill="1" applyBorder="1" applyAlignment="1">
      <alignment horizontal="left" vertical="center"/>
    </xf>
    <xf numFmtId="0" fontId="155" fillId="0" borderId="348" xfId="0" applyNumberFormat="1" applyFont="1" applyBorder="1" applyAlignment="1">
      <alignment horizontal="left" vertical="top"/>
    </xf>
    <xf numFmtId="169" fontId="19" fillId="0" borderId="0" xfId="0" applyNumberFormat="1" applyFont="1" applyAlignment="1">
      <alignment horizontal="left" vertical="center"/>
    </xf>
    <xf numFmtId="165" fontId="18" fillId="17" borderId="202" xfId="0" applyNumberFormat="1" applyFont="1" applyFill="1" applyBorder="1" applyAlignment="1">
      <alignment horizontal="left" vertical="center"/>
    </xf>
    <xf numFmtId="165" fontId="215" fillId="6" borderId="241" xfId="0" applyNumberFormat="1" applyFont="1" applyFill="1" applyBorder="1" applyAlignment="1">
      <alignment horizontal="left" vertical="center"/>
    </xf>
    <xf numFmtId="165" fontId="215" fillId="6" borderId="242" xfId="0" applyNumberFormat="1" applyFont="1" applyFill="1" applyBorder="1" applyAlignment="1">
      <alignment horizontal="left" vertical="center"/>
    </xf>
    <xf numFmtId="165" fontId="215" fillId="6" borderId="45" xfId="0" applyNumberFormat="1" applyFont="1" applyFill="1" applyBorder="1" applyAlignment="1">
      <alignment horizontal="left" vertical="center"/>
    </xf>
    <xf numFmtId="14" fontId="221" fillId="0" borderId="0" xfId="0" applyNumberFormat="1" applyFont="1" applyAlignment="1">
      <alignment horizontal="left" vertical="center"/>
    </xf>
    <xf numFmtId="172" fontId="110" fillId="5" borderId="13" xfId="0" applyNumberFormat="1" applyFont="1" applyFill="1" applyBorder="1" applyAlignment="1">
      <alignment horizontal="right" vertical="center"/>
    </xf>
    <xf numFmtId="172" fontId="110" fillId="5" borderId="343" xfId="0" applyNumberFormat="1" applyFont="1" applyFill="1" applyBorder="1" applyAlignment="1">
      <alignment horizontal="right" vertical="center"/>
    </xf>
    <xf numFmtId="172" fontId="110" fillId="5" borderId="259" xfId="0" applyNumberFormat="1" applyFont="1" applyFill="1" applyBorder="1" applyAlignment="1">
      <alignment horizontal="right" vertical="center"/>
    </xf>
    <xf numFmtId="172" fontId="262" fillId="5" borderId="259" xfId="0" applyNumberFormat="1" applyFont="1" applyFill="1" applyBorder="1" applyAlignment="1">
      <alignment horizontal="right" vertical="center" wrapText="1"/>
    </xf>
    <xf numFmtId="172" fontId="262" fillId="5" borderId="260" xfId="0" applyNumberFormat="1" applyFont="1" applyFill="1" applyBorder="1" applyAlignment="1">
      <alignment horizontal="right" vertical="center" wrapText="1"/>
    </xf>
    <xf numFmtId="166" fontId="212" fillId="18" borderId="243" xfId="8" applyNumberFormat="1" applyFont="1" applyFill="1" applyBorder="1" applyAlignment="1" applyProtection="1">
      <alignment horizontal="center" vertical="center" wrapText="1"/>
    </xf>
    <xf numFmtId="166" fontId="212" fillId="18" borderId="294" xfId="8" applyNumberFormat="1" applyFont="1" applyFill="1" applyBorder="1" applyAlignment="1" applyProtection="1">
      <alignment horizontal="center" vertical="center" wrapText="1"/>
    </xf>
    <xf numFmtId="166" fontId="212" fillId="18" borderId="218" xfId="8" applyNumberFormat="1" applyFont="1" applyFill="1" applyBorder="1" applyAlignment="1" applyProtection="1">
      <alignment horizontal="center" vertical="center" wrapText="1"/>
    </xf>
    <xf numFmtId="4" fontId="173" fillId="15" borderId="107" xfId="0" applyNumberFormat="1" applyFont="1" applyFill="1" applyBorder="1" applyAlignment="1">
      <alignment horizontal="left" vertical="top"/>
    </xf>
    <xf numFmtId="4" fontId="148" fillId="25" borderId="0" xfId="0" applyNumberFormat="1" applyFont="1" applyFill="1" applyAlignment="1">
      <alignment horizontal="left" vertical="center"/>
    </xf>
    <xf numFmtId="172" fontId="262" fillId="25" borderId="0" xfId="0" applyNumberFormat="1" applyFont="1" applyFill="1" applyAlignment="1">
      <alignment horizontal="right" vertical="center" wrapText="1"/>
    </xf>
    <xf numFmtId="172" fontId="262" fillId="25" borderId="2" xfId="0" applyNumberFormat="1" applyFont="1" applyFill="1" applyBorder="1" applyAlignment="1">
      <alignment horizontal="right" vertical="center" wrapText="1"/>
    </xf>
    <xf numFmtId="4" fontId="92" fillId="25" borderId="0" xfId="0" applyNumberFormat="1" applyFont="1" applyFill="1" applyAlignment="1">
      <alignment horizontal="left" vertical="center"/>
    </xf>
    <xf numFmtId="4" fontId="208" fillId="25" borderId="0" xfId="0" quotePrefix="1" applyNumberFormat="1" applyFont="1" applyFill="1" applyAlignment="1">
      <alignment horizontal="right" vertical="center"/>
    </xf>
    <xf numFmtId="184" fontId="131" fillId="25" borderId="0" xfId="0" applyNumberFormat="1" applyFont="1" applyFill="1" applyAlignment="1">
      <alignment horizontal="center" vertical="center"/>
    </xf>
    <xf numFmtId="4" fontId="260" fillId="25" borderId="0" xfId="0" applyNumberFormat="1" applyFont="1" applyFill="1" applyAlignment="1">
      <alignment horizontal="left" vertical="top"/>
    </xf>
    <xf numFmtId="166" fontId="53" fillId="25" borderId="0" xfId="0" applyNumberFormat="1" applyFont="1" applyFill="1" applyAlignment="1">
      <alignment horizontal="left" vertical="center"/>
    </xf>
    <xf numFmtId="4" fontId="14" fillId="25" borderId="125" xfId="0" applyNumberFormat="1" applyFont="1" applyFill="1" applyBorder="1" applyAlignment="1">
      <alignment horizontal="center" vertical="center"/>
    </xf>
    <xf numFmtId="164" fontId="3" fillId="25" borderId="0" xfId="0" applyFont="1" applyFill="1" applyAlignment="1">
      <alignment horizontal="left" vertical="center" wrapText="1"/>
    </xf>
    <xf numFmtId="164" fontId="3" fillId="25" borderId="5" xfId="0" applyFont="1" applyFill="1" applyBorder="1" applyAlignment="1">
      <alignment horizontal="left" vertical="center" wrapText="1"/>
    </xf>
    <xf numFmtId="166" fontId="153" fillId="14" borderId="243" xfId="0" applyNumberFormat="1" applyFont="1" applyFill="1" applyBorder="1" applyAlignment="1">
      <alignment horizontal="center" vertical="center"/>
    </xf>
    <xf numFmtId="166" fontId="153" fillId="14" borderId="218" xfId="0" applyNumberFormat="1" applyFont="1" applyFill="1" applyBorder="1" applyAlignment="1">
      <alignment horizontal="center" vertical="center"/>
    </xf>
    <xf numFmtId="184" fontId="126" fillId="17" borderId="243" xfId="0" applyNumberFormat="1" applyFont="1" applyFill="1" applyBorder="1" applyAlignment="1">
      <alignment horizontal="center" vertical="center"/>
    </xf>
    <xf numFmtId="184" fontId="126" fillId="17" borderId="294" xfId="0" applyNumberFormat="1" applyFont="1" applyFill="1" applyBorder="1" applyAlignment="1">
      <alignment horizontal="center" vertical="center"/>
    </xf>
    <xf numFmtId="184" fontId="126" fillId="17" borderId="218" xfId="0" applyNumberFormat="1" applyFont="1" applyFill="1" applyBorder="1" applyAlignment="1">
      <alignment horizontal="center" vertical="center"/>
    </xf>
    <xf numFmtId="166" fontId="143" fillId="17" borderId="243" xfId="0" applyNumberFormat="1" applyFont="1" applyFill="1" applyBorder="1" applyAlignment="1">
      <alignment horizontal="center" vertical="center"/>
    </xf>
    <xf numFmtId="166" fontId="143" fillId="17" borderId="218" xfId="0" applyNumberFormat="1" applyFont="1" applyFill="1" applyBorder="1" applyAlignment="1">
      <alignment horizontal="center" vertical="center"/>
    </xf>
    <xf numFmtId="4" fontId="208" fillId="15" borderId="0" xfId="0" quotePrefix="1" applyNumberFormat="1" applyFont="1" applyFill="1" applyAlignment="1">
      <alignment horizontal="right" vertical="center"/>
    </xf>
    <xf numFmtId="184" fontId="131" fillId="15" borderId="0" xfId="0" applyNumberFormat="1" applyFont="1" applyFill="1" applyAlignment="1">
      <alignment horizontal="center" vertical="center"/>
    </xf>
    <xf numFmtId="4" fontId="247" fillId="15" borderId="137" xfId="0" applyNumberFormat="1" applyFont="1" applyFill="1" applyBorder="1" applyAlignment="1">
      <alignment horizontal="center" vertical="center"/>
    </xf>
    <xf numFmtId="4" fontId="247" fillId="15" borderId="0" xfId="0" applyNumberFormat="1" applyFont="1" applyFill="1" applyAlignment="1">
      <alignment horizontal="center" vertical="center"/>
    </xf>
    <xf numFmtId="4" fontId="260" fillId="15" borderId="0" xfId="0" applyNumberFormat="1" applyFont="1" applyFill="1" applyAlignment="1">
      <alignment horizontal="left" vertical="top"/>
    </xf>
    <xf numFmtId="169" fontId="131" fillId="14" borderId="192" xfId="0" applyNumberFormat="1" applyFont="1" applyFill="1" applyBorder="1" applyAlignment="1">
      <alignment horizontal="left" vertical="center"/>
    </xf>
    <xf numFmtId="169" fontId="131" fillId="14" borderId="193" xfId="0" applyNumberFormat="1" applyFont="1" applyFill="1" applyBorder="1" applyAlignment="1">
      <alignment horizontal="left" vertical="center"/>
    </xf>
    <xf numFmtId="169" fontId="131" fillId="14" borderId="195" xfId="0" applyNumberFormat="1" applyFont="1" applyFill="1" applyBorder="1" applyAlignment="1">
      <alignment horizontal="left" vertical="center"/>
    </xf>
    <xf numFmtId="169" fontId="131" fillId="14" borderId="2" xfId="0" applyNumberFormat="1" applyFont="1" applyFill="1" applyBorder="1" applyAlignment="1">
      <alignment horizontal="left" vertical="center"/>
    </xf>
    <xf numFmtId="8" fontId="105" fillId="14" borderId="188" xfId="0" applyNumberFormat="1" applyFont="1" applyFill="1" applyBorder="1" applyAlignment="1">
      <alignment horizontal="center" vertical="center"/>
    </xf>
    <xf numFmtId="8" fontId="105" fillId="14" borderId="189" xfId="0" applyNumberFormat="1" applyFont="1" applyFill="1" applyBorder="1" applyAlignment="1">
      <alignment horizontal="center" vertical="center"/>
    </xf>
    <xf numFmtId="8" fontId="105" fillId="14" borderId="194" xfId="0" applyNumberFormat="1" applyFont="1" applyFill="1" applyBorder="1" applyAlignment="1">
      <alignment horizontal="center" vertical="center"/>
    </xf>
    <xf numFmtId="8" fontId="19" fillId="14" borderId="320" xfId="8" applyNumberFormat="1" applyFont="1" applyFill="1" applyBorder="1" applyAlignment="1" applyProtection="1">
      <alignment horizontal="center" vertical="center"/>
    </xf>
    <xf numFmtId="8" fontId="19" fillId="14" borderId="321" xfId="8" applyNumberFormat="1" applyFont="1" applyFill="1" applyBorder="1" applyAlignment="1" applyProtection="1">
      <alignment horizontal="center" vertical="center"/>
    </xf>
    <xf numFmtId="8" fontId="19" fillId="14" borderId="322" xfId="8" applyNumberFormat="1" applyFont="1" applyFill="1" applyBorder="1" applyAlignment="1" applyProtection="1">
      <alignment horizontal="center" vertical="center"/>
    </xf>
    <xf numFmtId="4" fontId="246" fillId="24" borderId="137" xfId="0" applyNumberFormat="1" applyFont="1" applyFill="1" applyBorder="1" applyAlignment="1">
      <alignment horizontal="center" vertical="center"/>
    </xf>
    <xf numFmtId="4" fontId="246" fillId="24" borderId="0" xfId="0" applyNumberFormat="1" applyFont="1" applyFill="1" applyAlignment="1">
      <alignment horizontal="center" vertical="center"/>
    </xf>
    <xf numFmtId="4" fontId="173" fillId="24" borderId="0" xfId="0" applyNumberFormat="1" applyFont="1" applyFill="1" applyAlignment="1">
      <alignment horizontal="left" vertical="top"/>
    </xf>
    <xf numFmtId="184" fontId="131" fillId="24" borderId="0" xfId="0" applyNumberFormat="1" applyFont="1" applyFill="1" applyAlignment="1">
      <alignment horizontal="center" vertical="center"/>
    </xf>
    <xf numFmtId="165" fontId="279" fillId="26" borderId="331" xfId="0" applyNumberFormat="1" applyFont="1" applyFill="1" applyBorder="1" applyAlignment="1">
      <alignment horizontal="left" vertical="center"/>
    </xf>
    <xf numFmtId="165" fontId="279" fillId="26" borderId="332" xfId="0" applyNumberFormat="1" applyFont="1" applyFill="1" applyBorder="1" applyAlignment="1">
      <alignment horizontal="left" vertical="center"/>
    </xf>
    <xf numFmtId="165" fontId="279" fillId="26" borderId="333" xfId="0" applyNumberFormat="1" applyFont="1" applyFill="1" applyBorder="1" applyAlignment="1">
      <alignment horizontal="left" vertical="center"/>
    </xf>
    <xf numFmtId="4" fontId="206" fillId="0" borderId="107" xfId="0" applyNumberFormat="1" applyFont="1" applyBorder="1" applyAlignment="1">
      <alignment horizontal="center" vertical="center"/>
    </xf>
    <xf numFmtId="166" fontId="98" fillId="14" borderId="0" xfId="0" applyNumberFormat="1" applyFont="1" applyFill="1" applyAlignment="1">
      <alignment horizontal="left" vertical="center"/>
    </xf>
    <xf numFmtId="172" fontId="262" fillId="14" borderId="0" xfId="0" applyNumberFormat="1" applyFont="1" applyFill="1" applyAlignment="1">
      <alignment horizontal="right" vertical="center" wrapText="1"/>
    </xf>
    <xf numFmtId="172" fontId="262" fillId="14" borderId="2" xfId="0" applyNumberFormat="1" applyFont="1" applyFill="1" applyBorder="1" applyAlignment="1">
      <alignment horizontal="right" vertical="center" wrapText="1"/>
    </xf>
    <xf numFmtId="4" fontId="260" fillId="14" borderId="107" xfId="0" applyNumberFormat="1" applyFont="1" applyFill="1" applyBorder="1" applyAlignment="1">
      <alignment horizontal="left" vertical="top"/>
    </xf>
    <xf numFmtId="4" fontId="281" fillId="14" borderId="107" xfId="0" applyNumberFormat="1" applyFont="1" applyFill="1" applyBorder="1" applyAlignment="1">
      <alignment horizontal="center"/>
    </xf>
    <xf numFmtId="4" fontId="148" fillId="24" borderId="0" xfId="0" applyNumberFormat="1" applyFont="1" applyFill="1" applyAlignment="1">
      <alignment horizontal="left" vertical="center"/>
    </xf>
    <xf numFmtId="172" fontId="262" fillId="24" borderId="0" xfId="0" applyNumberFormat="1" applyFont="1" applyFill="1" applyAlignment="1">
      <alignment horizontal="right" vertical="center" wrapText="1"/>
    </xf>
    <xf numFmtId="172" fontId="262" fillId="24" borderId="2" xfId="0" applyNumberFormat="1" applyFont="1" applyFill="1" applyBorder="1" applyAlignment="1">
      <alignment horizontal="right" vertical="center" wrapText="1"/>
    </xf>
    <xf numFmtId="4" fontId="205" fillId="24" borderId="0" xfId="0" applyNumberFormat="1" applyFont="1" applyFill="1" applyAlignment="1">
      <alignment horizontal="left" vertical="center"/>
    </xf>
    <xf numFmtId="4" fontId="155" fillId="24" borderId="0" xfId="0" quotePrefix="1" applyNumberFormat="1" applyFont="1" applyFill="1" applyAlignment="1">
      <alignment horizontal="right" vertical="center"/>
    </xf>
    <xf numFmtId="4" fontId="155" fillId="24" borderId="5" xfId="0" quotePrefix="1" applyNumberFormat="1" applyFont="1" applyFill="1" applyBorder="1" applyAlignment="1">
      <alignment horizontal="right" vertical="center"/>
    </xf>
    <xf numFmtId="170" fontId="116" fillId="5" borderId="184" xfId="0" applyNumberFormat="1" applyFont="1" applyFill="1" applyBorder="1" applyAlignment="1">
      <alignment horizontal="left" vertical="center"/>
    </xf>
    <xf numFmtId="170" fontId="116" fillId="5" borderId="252" xfId="0" applyNumberFormat="1" applyFont="1" applyFill="1" applyBorder="1" applyAlignment="1">
      <alignment horizontal="left" vertical="center"/>
    </xf>
    <xf numFmtId="165" fontId="155" fillId="0" borderId="298" xfId="0" applyNumberFormat="1" applyFont="1" applyBorder="1" applyAlignment="1">
      <alignment horizontal="left" vertical="center"/>
    </xf>
    <xf numFmtId="165" fontId="155" fillId="0" borderId="299" xfId="0" applyNumberFormat="1" applyFont="1" applyBorder="1" applyAlignment="1">
      <alignment horizontal="left" vertical="center"/>
    </xf>
    <xf numFmtId="165" fontId="155" fillId="0" borderId="300" xfId="0" applyNumberFormat="1" applyFont="1" applyBorder="1" applyAlignment="1">
      <alignment horizontal="left" vertical="center"/>
    </xf>
    <xf numFmtId="4" fontId="206" fillId="0" borderId="361" xfId="0" applyNumberFormat="1" applyFont="1" applyBorder="1" applyAlignment="1" applyProtection="1">
      <alignment horizontal="left" vertical="center"/>
      <protection locked="0"/>
    </xf>
    <xf numFmtId="165" fontId="155" fillId="0" borderId="301" xfId="0" applyNumberFormat="1" applyFont="1" applyBorder="1" applyAlignment="1">
      <alignment horizontal="left" vertical="center"/>
    </xf>
    <xf numFmtId="165" fontId="155" fillId="0" borderId="302" xfId="0" applyNumberFormat="1" applyFont="1" applyBorder="1" applyAlignment="1">
      <alignment horizontal="left" vertical="center"/>
    </xf>
    <xf numFmtId="165" fontId="155" fillId="0" borderId="303" xfId="0" applyNumberFormat="1" applyFont="1" applyBorder="1" applyAlignment="1">
      <alignment horizontal="left" vertical="center"/>
    </xf>
    <xf numFmtId="165" fontId="155" fillId="0" borderId="307" xfId="0" applyNumberFormat="1" applyFont="1" applyBorder="1" applyAlignment="1">
      <alignment horizontal="left" vertical="center"/>
    </xf>
    <xf numFmtId="165" fontId="155" fillId="0" borderId="308" xfId="0" applyNumberFormat="1" applyFont="1" applyBorder="1" applyAlignment="1">
      <alignment horizontal="left" vertical="center"/>
    </xf>
    <xf numFmtId="165" fontId="155" fillId="0" borderId="309" xfId="0" applyNumberFormat="1" applyFont="1" applyBorder="1" applyAlignment="1">
      <alignment horizontal="left" vertical="center"/>
    </xf>
    <xf numFmtId="4" fontId="250" fillId="25" borderId="137" xfId="0" applyNumberFormat="1" applyFont="1" applyFill="1" applyBorder="1" applyAlignment="1">
      <alignment horizontal="center" vertical="center"/>
    </xf>
    <xf numFmtId="4" fontId="250" fillId="25" borderId="0" xfId="0" applyNumberFormat="1" applyFont="1" applyFill="1" applyAlignment="1">
      <alignment horizontal="center" vertical="center"/>
    </xf>
    <xf numFmtId="165" fontId="155" fillId="0" borderId="325" xfId="0" applyNumberFormat="1" applyFont="1" applyBorder="1" applyAlignment="1">
      <alignment horizontal="left" vertical="center"/>
    </xf>
    <xf numFmtId="165" fontId="155" fillId="0" borderId="326" xfId="0" applyNumberFormat="1" applyFont="1" applyBorder="1" applyAlignment="1">
      <alignment horizontal="left" vertical="center"/>
    </xf>
    <xf numFmtId="165" fontId="155" fillId="0" borderId="327" xfId="0" applyNumberFormat="1" applyFont="1" applyBorder="1" applyAlignment="1">
      <alignment horizontal="left" vertical="center"/>
    </xf>
    <xf numFmtId="165" fontId="155" fillId="0" borderId="198" xfId="0" applyNumberFormat="1" applyFont="1" applyBorder="1" applyAlignment="1">
      <alignment horizontal="left" vertical="center"/>
    </xf>
    <xf numFmtId="165" fontId="155" fillId="0" borderId="331" xfId="0" applyNumberFormat="1" applyFont="1" applyBorder="1" applyAlignment="1">
      <alignment horizontal="left" vertical="center"/>
    </xf>
    <xf numFmtId="165" fontId="155" fillId="0" borderId="332" xfId="0" applyNumberFormat="1" applyFont="1" applyBorder="1" applyAlignment="1">
      <alignment horizontal="left" vertical="center"/>
    </xf>
    <xf numFmtId="165" fontId="155" fillId="0" borderId="333" xfId="0" applyNumberFormat="1" applyFont="1" applyBorder="1" applyAlignment="1">
      <alignment horizontal="left" vertical="center"/>
    </xf>
    <xf numFmtId="165" fontId="155" fillId="0" borderId="313" xfId="0" applyNumberFormat="1" applyFont="1" applyBorder="1" applyAlignment="1">
      <alignment horizontal="left" vertical="center"/>
    </xf>
    <xf numFmtId="165" fontId="155" fillId="0" borderId="314" xfId="0" applyNumberFormat="1" applyFont="1" applyBorder="1" applyAlignment="1">
      <alignment horizontal="left" vertical="center"/>
    </xf>
    <xf numFmtId="165" fontId="155" fillId="0" borderId="315" xfId="0" applyNumberFormat="1" applyFont="1" applyBorder="1" applyAlignment="1">
      <alignment horizontal="left" vertical="center"/>
    </xf>
    <xf numFmtId="165" fontId="155" fillId="0" borderId="317" xfId="0" applyNumberFormat="1" applyFont="1" applyBorder="1" applyAlignment="1">
      <alignment horizontal="left" vertical="center"/>
    </xf>
    <xf numFmtId="165" fontId="155" fillId="0" borderId="318" xfId="0" applyNumberFormat="1" applyFont="1" applyBorder="1" applyAlignment="1">
      <alignment horizontal="left" vertical="center"/>
    </xf>
    <xf numFmtId="165" fontId="155" fillId="0" borderId="319" xfId="0" applyNumberFormat="1" applyFont="1" applyBorder="1" applyAlignment="1">
      <alignment horizontal="left" vertical="center"/>
    </xf>
    <xf numFmtId="166" fontId="53" fillId="15" borderId="0" xfId="0" applyNumberFormat="1" applyFont="1" applyFill="1" applyAlignment="1">
      <alignment horizontal="left" vertical="center"/>
    </xf>
    <xf numFmtId="164" fontId="3" fillId="15" borderId="0" xfId="0" applyFont="1" applyFill="1" applyAlignment="1">
      <alignment horizontal="left" vertical="center" wrapText="1"/>
    </xf>
    <xf numFmtId="164" fontId="3" fillId="15" borderId="5" xfId="0" applyFont="1" applyFill="1" applyBorder="1" applyAlignment="1">
      <alignment horizontal="left" vertical="center" wrapText="1"/>
    </xf>
    <xf numFmtId="184" fontId="126" fillId="14" borderId="243" xfId="0" applyNumberFormat="1" applyFont="1" applyFill="1" applyBorder="1" applyAlignment="1">
      <alignment horizontal="center" vertical="center"/>
    </xf>
    <xf numFmtId="184" fontId="126" fillId="14" borderId="294" xfId="0" applyNumberFormat="1" applyFont="1" applyFill="1" applyBorder="1" applyAlignment="1">
      <alignment horizontal="center" vertical="center"/>
    </xf>
    <xf numFmtId="184" fontId="126" fillId="14" borderId="218" xfId="0" applyNumberFormat="1" applyFont="1" applyFill="1" applyBorder="1" applyAlignment="1">
      <alignment horizontal="center" vertical="center"/>
    </xf>
    <xf numFmtId="4" fontId="173" fillId="24" borderId="107" xfId="0" applyNumberFormat="1" applyFont="1" applyFill="1" applyBorder="1" applyAlignment="1">
      <alignment horizontal="left"/>
    </xf>
    <xf numFmtId="4" fontId="148" fillId="15" borderId="0" xfId="0" applyNumberFormat="1" applyFont="1" applyFill="1" applyAlignment="1">
      <alignment horizontal="left" vertical="center"/>
    </xf>
    <xf numFmtId="172" fontId="262" fillId="15" borderId="0" xfId="0" applyNumberFormat="1" applyFont="1" applyFill="1" applyAlignment="1">
      <alignment horizontal="right" vertical="center" wrapText="1"/>
    </xf>
    <xf numFmtId="172" fontId="262" fillId="15" borderId="2" xfId="0" applyNumberFormat="1" applyFont="1" applyFill="1" applyBorder="1" applyAlignment="1">
      <alignment horizontal="right" vertical="center" wrapText="1"/>
    </xf>
    <xf numFmtId="4" fontId="105" fillId="15" borderId="0" xfId="0" applyNumberFormat="1" applyFont="1" applyFill="1" applyAlignment="1">
      <alignment horizontal="left" vertical="center"/>
    </xf>
  </cellXfs>
  <cellStyles count="10">
    <cellStyle name="Akzent1" xfId="9" builtinId="29"/>
    <cellStyle name="Eingabe" xfId="4" builtinId="20" customBuiltin="1"/>
    <cellStyle name="Euro" xfId="1" xr:uid="{00000000-0005-0000-0000-000001000000}"/>
    <cellStyle name="Gut" xfId="2" builtinId="26" customBuiltin="1"/>
    <cellStyle name="Link" xfId="6" builtinId="8"/>
    <cellStyle name="Neutral" xfId="3" builtinId="28" customBuiltin="1"/>
    <cellStyle name="Prozent" xfId="7" builtinId="5"/>
    <cellStyle name="Schlecht" xfId="5" builtinId="27" customBuiltin="1"/>
    <cellStyle name="Standard" xfId="0" builtinId="0"/>
    <cellStyle name="Währung" xfId="8" builtinId="4"/>
  </cellStyles>
  <dxfs count="1796">
    <dxf>
      <font>
        <b/>
        <i val="0"/>
        <color theme="0" tint="-0.14996795556505021"/>
      </font>
      <fill>
        <patternFill>
          <bgColor theme="0" tint="-0.14996795556505021"/>
        </patternFill>
      </fill>
    </dxf>
    <dxf>
      <font>
        <b/>
        <i val="0"/>
        <color rgb="FFC00000"/>
      </font>
    </dxf>
    <dxf>
      <font>
        <b/>
        <i val="0"/>
        <color theme="0" tint="-0.14996795556505021"/>
      </font>
      <fill>
        <patternFill>
          <bgColor theme="0" tint="-0.14996795556505021"/>
        </patternFill>
      </fill>
    </dxf>
    <dxf>
      <font>
        <b/>
        <i val="0"/>
        <color theme="0" tint="-0.499984740745262"/>
      </font>
      <fill>
        <patternFill>
          <bgColor theme="0" tint="-0.14996795556505021"/>
        </patternFill>
      </fill>
    </dxf>
    <dxf>
      <font>
        <b/>
        <i val="0"/>
        <color theme="0" tint="-0.14996795556505021"/>
      </font>
      <fill>
        <patternFill>
          <bgColor theme="0" tint="-0.14996795556505021"/>
        </patternFill>
      </fill>
    </dxf>
    <dxf>
      <font>
        <b/>
        <i val="0"/>
        <color theme="0" tint="-0.499984740745262"/>
      </font>
      <fill>
        <patternFill>
          <bgColor theme="0" tint="-0.14996795556505021"/>
        </patternFill>
      </fill>
    </dxf>
    <dxf>
      <font>
        <b/>
        <i val="0"/>
        <color theme="0" tint="-0.14996795556505021"/>
      </font>
      <fill>
        <patternFill>
          <bgColor theme="0" tint="-0.14996795556505021"/>
        </patternFill>
      </fill>
    </dxf>
    <dxf>
      <font>
        <b/>
        <i val="0"/>
        <color theme="0" tint="-0.499984740745262"/>
      </font>
      <fill>
        <patternFill>
          <bgColor theme="0" tint="-0.14996795556505021"/>
        </patternFill>
      </fill>
    </dxf>
    <dxf>
      <font>
        <b/>
        <i val="0"/>
        <color theme="0" tint="-0.14996795556505021"/>
      </font>
      <fill>
        <patternFill>
          <bgColor theme="0" tint="-0.14996795556505021"/>
        </patternFill>
      </fill>
    </dxf>
    <dxf>
      <font>
        <b/>
        <i val="0"/>
        <color theme="0" tint="-0.499984740745262"/>
      </font>
      <fill>
        <patternFill>
          <bgColor theme="0" tint="-0.14996795556505021"/>
        </patternFill>
      </fill>
    </dxf>
    <dxf>
      <font>
        <b/>
        <i val="0"/>
        <color theme="0"/>
      </font>
      <fill>
        <patternFill>
          <bgColor theme="0"/>
        </patternFill>
      </fill>
    </dxf>
    <dxf>
      <font>
        <b/>
        <i val="0"/>
        <color theme="0"/>
      </font>
      <fill>
        <patternFill>
          <bgColor theme="0"/>
        </patternFill>
      </fill>
    </dxf>
    <dxf>
      <font>
        <b/>
        <i val="0"/>
        <color rgb="FF006666"/>
      </font>
    </dxf>
    <dxf>
      <font>
        <b/>
        <i val="0"/>
        <color theme="0"/>
      </font>
    </dxf>
    <dxf>
      <font>
        <b/>
        <i val="0"/>
        <color rgb="FF006666"/>
      </font>
    </dxf>
    <dxf>
      <font>
        <b/>
        <i val="0"/>
        <color theme="6" tint="-0.24994659260841701"/>
      </font>
    </dxf>
    <dxf>
      <font>
        <b/>
        <i val="0"/>
        <color theme="6" tint="-0.24994659260841701"/>
      </font>
    </dxf>
    <dxf>
      <font>
        <b/>
        <i val="0"/>
        <color rgb="FF006666"/>
      </font>
      <fill>
        <patternFill>
          <bgColor theme="6" tint="0.59996337778862885"/>
        </patternFill>
      </fill>
    </dxf>
    <dxf>
      <font>
        <b/>
        <i val="0"/>
        <color theme="9" tint="-0.499984740745262"/>
      </font>
      <fill>
        <patternFill>
          <bgColor theme="9" tint="0.59996337778862885"/>
        </patternFill>
      </fill>
    </dxf>
    <dxf>
      <font>
        <b/>
        <i val="0"/>
        <color theme="0" tint="-0.14996795556505021"/>
      </font>
      <fill>
        <patternFill>
          <bgColor theme="0" tint="-0.14996795556505021"/>
        </patternFill>
      </fill>
    </dxf>
    <dxf>
      <font>
        <b/>
        <i val="0"/>
        <color rgb="FF006666"/>
      </font>
      <fill>
        <patternFill>
          <bgColor theme="6" tint="0.59996337778862885"/>
        </patternFill>
      </fill>
    </dxf>
    <dxf>
      <font>
        <b/>
        <i val="0"/>
        <color theme="9" tint="-0.499984740745262"/>
      </font>
      <fill>
        <patternFill>
          <bgColor theme="9" tint="0.59996337778862885"/>
        </patternFill>
      </fill>
    </dxf>
    <dxf>
      <font>
        <b/>
        <i val="0"/>
        <color rgb="FF006666"/>
      </font>
      <fill>
        <patternFill>
          <bgColor theme="6" tint="0.59996337778862885"/>
        </patternFill>
      </fill>
    </dxf>
    <dxf>
      <font>
        <b/>
        <i val="0"/>
        <color theme="9" tint="-0.499984740745262"/>
      </font>
      <fill>
        <patternFill>
          <bgColor theme="9" tint="0.59996337778862885"/>
        </patternFill>
      </fill>
    </dxf>
    <dxf>
      <font>
        <b/>
        <i val="0"/>
        <color rgb="FFFFFF00"/>
      </font>
      <fill>
        <patternFill>
          <bgColor rgb="FFFF0000"/>
        </patternFill>
      </fill>
    </dxf>
    <dxf>
      <font>
        <b/>
        <i val="0"/>
        <color rgb="FF006666"/>
      </font>
      <fill>
        <patternFill>
          <bgColor theme="6" tint="0.59996337778862885"/>
        </patternFill>
      </fill>
    </dxf>
    <dxf>
      <font>
        <b/>
        <i val="0"/>
        <color theme="9" tint="-0.499984740745262"/>
      </font>
      <fill>
        <patternFill>
          <bgColor rgb="FFFFFFCC"/>
        </patternFill>
      </fill>
    </dxf>
    <dxf>
      <fill>
        <patternFill>
          <bgColor theme="7" tint="0.79998168889431442"/>
        </patternFill>
      </fill>
    </dxf>
    <dxf>
      <font>
        <b/>
        <i val="0"/>
        <color rgb="FF006666"/>
      </font>
      <fill>
        <patternFill>
          <bgColor theme="6" tint="0.59996337778862885"/>
        </patternFill>
      </fill>
    </dxf>
    <dxf>
      <font>
        <b/>
        <i val="0"/>
        <color theme="9" tint="-0.499984740745262"/>
      </font>
      <fill>
        <patternFill>
          <bgColor theme="9" tint="0.59996337778862885"/>
        </patternFill>
      </fill>
    </dxf>
    <dxf>
      <fill>
        <patternFill>
          <bgColor theme="8" tint="0.59996337778862885"/>
        </patternFill>
      </fill>
    </dxf>
    <dxf>
      <font>
        <b/>
        <i val="0"/>
        <color theme="0" tint="-0.14996795556505021"/>
      </font>
      <fill>
        <patternFill>
          <bgColor theme="0" tint="-0.14996795556505021"/>
        </patternFill>
      </fill>
    </dxf>
    <dxf>
      <font>
        <b/>
        <i val="0"/>
        <color theme="0" tint="-0.14996795556505021"/>
      </font>
      <fill>
        <patternFill>
          <bgColor theme="0" tint="-0.14996795556505021"/>
        </patternFill>
      </fill>
    </dxf>
    <dxf>
      <font>
        <b/>
        <i val="0"/>
        <color rgb="FF006666"/>
      </font>
      <fill>
        <patternFill>
          <bgColor theme="6" tint="0.59996337778862885"/>
        </patternFill>
      </fill>
    </dxf>
    <dxf>
      <font>
        <b/>
        <i val="0"/>
        <color theme="9" tint="-0.499984740745262"/>
      </font>
      <fill>
        <patternFill>
          <bgColor theme="9" tint="0.59996337778862885"/>
        </patternFill>
      </fill>
    </dxf>
    <dxf>
      <font>
        <b/>
        <i val="0"/>
        <color rgb="FF006666"/>
      </font>
      <fill>
        <patternFill>
          <bgColor theme="6" tint="0.59996337778862885"/>
        </patternFill>
      </fill>
    </dxf>
    <dxf>
      <font>
        <b/>
        <i val="0"/>
        <color theme="9" tint="-0.499984740745262"/>
      </font>
      <fill>
        <patternFill>
          <bgColor theme="9" tint="0.59996337778862885"/>
        </patternFill>
      </fill>
    </dxf>
    <dxf>
      <fill>
        <patternFill>
          <bgColor theme="7" tint="0.79998168889431442"/>
        </patternFill>
      </fill>
    </dxf>
    <dxf>
      <font>
        <b/>
        <i val="0"/>
        <color rgb="FF006666"/>
      </font>
      <fill>
        <patternFill>
          <bgColor theme="6" tint="0.59996337778862885"/>
        </patternFill>
      </fill>
    </dxf>
    <dxf>
      <font>
        <b/>
        <i val="0"/>
        <color theme="9" tint="-0.499984740745262"/>
      </font>
      <fill>
        <patternFill>
          <bgColor theme="9" tint="0.59996337778862885"/>
        </patternFill>
      </fill>
    </dxf>
    <dxf>
      <font>
        <b/>
        <i val="0"/>
        <color rgb="FF006666"/>
      </font>
      <fill>
        <patternFill>
          <bgColor theme="6" tint="0.59996337778862885"/>
        </patternFill>
      </fill>
    </dxf>
    <dxf>
      <font>
        <b/>
        <i val="0"/>
        <color rgb="FFFFFF00"/>
      </font>
      <fill>
        <patternFill>
          <bgColor rgb="FFFF0000"/>
        </patternFill>
      </fill>
    </dxf>
    <dxf>
      <font>
        <b/>
        <i val="0"/>
        <color theme="9" tint="-0.499984740745262"/>
      </font>
      <fill>
        <patternFill>
          <bgColor rgb="FFFFFFCC"/>
        </patternFill>
      </fill>
    </dxf>
    <dxf>
      <font>
        <b/>
        <i val="0"/>
        <color theme="8" tint="-0.24994659260841701"/>
      </font>
    </dxf>
    <dxf>
      <font>
        <b/>
        <i val="0"/>
        <color theme="6" tint="-0.24994659260841701"/>
      </font>
    </dxf>
    <dxf>
      <font>
        <b/>
        <i val="0"/>
        <color theme="9" tint="0.79998168889431442"/>
      </font>
    </dxf>
    <dxf>
      <font>
        <b/>
        <i val="0"/>
        <color rgb="FF006666"/>
      </font>
      <fill>
        <patternFill>
          <bgColor theme="6" tint="0.59996337778862885"/>
        </patternFill>
      </fill>
    </dxf>
    <dxf>
      <font>
        <b/>
        <i val="0"/>
        <color theme="9" tint="-0.499984740745262"/>
      </font>
      <fill>
        <patternFill>
          <bgColor theme="9" tint="0.59996337778862885"/>
        </patternFill>
      </fill>
    </dxf>
    <dxf>
      <font>
        <b/>
        <i val="0"/>
        <color rgb="FF006666"/>
      </font>
      <fill>
        <patternFill>
          <bgColor theme="6" tint="0.59996337778862885"/>
        </patternFill>
      </fill>
    </dxf>
    <dxf>
      <font>
        <b/>
        <i val="0"/>
        <color theme="9" tint="-0.499984740745262"/>
      </font>
      <fill>
        <patternFill>
          <bgColor theme="9" tint="0.59996337778862885"/>
        </patternFill>
      </fill>
    </dxf>
    <dxf>
      <font>
        <b/>
        <i val="0"/>
        <color rgb="FF006666"/>
      </font>
      <fill>
        <patternFill>
          <bgColor theme="6" tint="0.59996337778862885"/>
        </patternFill>
      </fill>
    </dxf>
    <dxf>
      <font>
        <b/>
        <i val="0"/>
        <color theme="9" tint="-0.499984740745262"/>
      </font>
      <fill>
        <patternFill>
          <bgColor theme="9" tint="0.59996337778862885"/>
        </patternFill>
      </fill>
    </dxf>
    <dxf>
      <font>
        <b/>
        <i val="0"/>
        <color rgb="FF006666"/>
      </font>
      <fill>
        <patternFill>
          <bgColor theme="6" tint="0.59996337778862885"/>
        </patternFill>
      </fill>
    </dxf>
    <dxf>
      <font>
        <b/>
        <i val="0"/>
        <color theme="9" tint="-0.499984740745262"/>
      </font>
      <fill>
        <patternFill>
          <bgColor theme="9" tint="0.59996337778862885"/>
        </patternFill>
      </fill>
    </dxf>
    <dxf>
      <font>
        <b/>
        <i val="0"/>
        <color rgb="FF006666"/>
      </font>
      <fill>
        <patternFill>
          <bgColor theme="6" tint="0.59996337778862885"/>
        </patternFill>
      </fill>
    </dxf>
    <dxf>
      <font>
        <b/>
        <i val="0"/>
        <color theme="9" tint="-0.499984740745262"/>
      </font>
      <fill>
        <patternFill>
          <bgColor theme="9" tint="0.59996337778862885"/>
        </patternFill>
      </fill>
    </dxf>
    <dxf>
      <font>
        <b/>
        <i val="0"/>
        <color rgb="FF006666"/>
      </font>
      <fill>
        <patternFill>
          <bgColor theme="6" tint="0.59996337778862885"/>
        </patternFill>
      </fill>
    </dxf>
    <dxf>
      <font>
        <b/>
        <i val="0"/>
        <color theme="0" tint="-0.14996795556505021"/>
      </font>
      <fill>
        <patternFill>
          <bgColor theme="0" tint="-0.14996795556505021"/>
        </patternFill>
      </fill>
    </dxf>
    <dxf>
      <font>
        <b/>
        <i val="0"/>
        <color theme="9" tint="-0.499984740745262"/>
      </font>
      <fill>
        <patternFill>
          <bgColor theme="9" tint="0.59996337778862885"/>
        </patternFill>
      </fill>
    </dxf>
    <dxf>
      <font>
        <b/>
        <i val="0"/>
        <color rgb="FF006666"/>
      </font>
      <fill>
        <patternFill>
          <bgColor theme="6" tint="0.59996337778862885"/>
        </patternFill>
      </fill>
    </dxf>
    <dxf>
      <font>
        <b/>
        <i val="0"/>
        <color theme="9" tint="-0.499984740745262"/>
      </font>
      <fill>
        <patternFill>
          <bgColor theme="9" tint="0.59996337778862885"/>
        </patternFill>
      </fill>
    </dxf>
    <dxf>
      <font>
        <b/>
        <i val="0"/>
        <color theme="0" tint="-0.14996795556505021"/>
      </font>
      <fill>
        <patternFill>
          <bgColor theme="0" tint="-0.14996795556505021"/>
        </patternFill>
      </fill>
    </dxf>
    <dxf>
      <font>
        <b/>
        <i val="0"/>
        <color theme="7" tint="0.39994506668294322"/>
      </font>
    </dxf>
    <dxf>
      <fill>
        <patternFill>
          <bgColor theme="7" tint="0.79998168889431442"/>
        </patternFill>
      </fill>
    </dxf>
    <dxf>
      <font>
        <b/>
        <i val="0"/>
        <color theme="9" tint="-0.499984740745262"/>
      </font>
      <fill>
        <patternFill>
          <bgColor theme="9" tint="0.59996337778862885"/>
        </patternFill>
      </fill>
    </dxf>
    <dxf>
      <font>
        <b/>
        <i val="0"/>
        <color rgb="FF006666"/>
      </font>
      <fill>
        <patternFill>
          <bgColor theme="6" tint="0.59996337778862885"/>
        </patternFill>
      </fill>
    </dxf>
    <dxf>
      <font>
        <b/>
        <i val="0"/>
        <color rgb="FF006666"/>
      </font>
      <fill>
        <patternFill>
          <bgColor theme="6" tint="0.59996337778862885"/>
        </patternFill>
      </fill>
    </dxf>
    <dxf>
      <font>
        <b/>
        <i val="0"/>
        <color theme="9" tint="-0.499984740745262"/>
      </font>
      <fill>
        <patternFill>
          <bgColor rgb="FFFFFFCC"/>
        </patternFill>
      </fill>
    </dxf>
    <dxf>
      <font>
        <b/>
        <i val="0"/>
        <color rgb="FFFFFF00"/>
      </font>
      <fill>
        <patternFill>
          <bgColor rgb="FFFF0000"/>
        </patternFill>
      </fill>
    </dxf>
    <dxf>
      <font>
        <b/>
        <i val="0"/>
        <color theme="6" tint="-0.24994659260841701"/>
      </font>
    </dxf>
    <dxf>
      <font>
        <b/>
        <i val="0"/>
        <color theme="6" tint="-0.24994659260841701"/>
      </font>
    </dxf>
    <dxf>
      <border>
        <left/>
        <right/>
        <top/>
        <bottom/>
        <vertical/>
        <horizontal/>
      </border>
    </dxf>
    <dxf>
      <border>
        <left/>
        <right/>
        <top/>
        <bottom/>
        <vertical/>
        <horizontal/>
      </border>
    </dxf>
    <dxf>
      <font>
        <b/>
        <i val="0"/>
        <color theme="0" tint="-0.499984740745262"/>
      </font>
      <fill>
        <patternFill>
          <bgColor theme="0" tint="-0.14996795556505021"/>
        </patternFill>
      </fill>
    </dxf>
    <dxf>
      <font>
        <b/>
        <i val="0"/>
        <color theme="0" tint="-0.499984740745262"/>
      </font>
      <fill>
        <patternFill>
          <bgColor theme="0" tint="-0.14996795556505021"/>
        </patternFill>
      </fill>
    </dxf>
    <dxf>
      <font>
        <b/>
        <i val="0"/>
        <color theme="0"/>
      </font>
      <fill>
        <patternFill>
          <bgColor theme="0"/>
        </patternFill>
      </fill>
      <border>
        <left/>
        <right/>
        <top/>
        <bottom/>
        <vertical/>
        <horizontal/>
      </border>
    </dxf>
    <dxf>
      <font>
        <b/>
        <i val="0"/>
        <color theme="9" tint="-0.499984740745262"/>
      </font>
      <fill>
        <patternFill>
          <bgColor theme="9" tint="0.59996337778862885"/>
        </patternFill>
      </fill>
    </dxf>
    <dxf>
      <font>
        <b/>
        <i val="0"/>
        <color rgb="FF006666"/>
      </font>
      <fill>
        <patternFill>
          <bgColor theme="6" tint="0.59996337778862885"/>
        </patternFill>
      </fill>
    </dxf>
    <dxf>
      <font>
        <b/>
        <i val="0"/>
        <color theme="0" tint="-0.14996795556505021"/>
      </font>
      <fill>
        <patternFill>
          <bgColor theme="0" tint="-0.14996795556505021"/>
        </patternFill>
      </fill>
    </dxf>
    <dxf>
      <font>
        <b/>
        <i val="0"/>
        <color theme="9" tint="-0.499984740745262"/>
      </font>
      <fill>
        <patternFill>
          <bgColor rgb="FFFFFFCC"/>
        </patternFill>
      </fill>
    </dxf>
    <dxf>
      <font>
        <b/>
        <i val="0"/>
        <color rgb="FF006666"/>
      </font>
      <fill>
        <patternFill>
          <bgColor theme="6" tint="0.59996337778862885"/>
        </patternFill>
      </fill>
    </dxf>
    <dxf>
      <font>
        <b/>
        <i val="0"/>
        <color rgb="FFFFFF00"/>
      </font>
      <fill>
        <patternFill>
          <bgColor rgb="FFFF0000"/>
        </patternFill>
      </fill>
    </dxf>
    <dxf>
      <font>
        <b/>
        <i val="0"/>
        <color rgb="FF006666"/>
      </font>
      <fill>
        <patternFill>
          <bgColor theme="6" tint="0.59996337778862885"/>
        </patternFill>
      </fill>
    </dxf>
    <dxf>
      <font>
        <b/>
        <i val="0"/>
        <color theme="9" tint="-0.499984740745262"/>
      </font>
      <fill>
        <patternFill>
          <bgColor theme="9" tint="0.59996337778862885"/>
        </patternFill>
      </fill>
    </dxf>
    <dxf>
      <font>
        <b/>
        <i val="0"/>
        <color theme="0" tint="-0.499984740745262"/>
      </font>
      <fill>
        <patternFill>
          <bgColor theme="0" tint="-0.14996795556505021"/>
        </patternFill>
      </fill>
    </dxf>
    <dxf>
      <font>
        <b/>
        <i val="0"/>
        <color rgb="FFFFFF00"/>
      </font>
      <fill>
        <patternFill>
          <bgColor rgb="FFFF0000"/>
        </patternFill>
      </fill>
    </dxf>
    <dxf>
      <font>
        <b/>
        <i val="0"/>
        <color rgb="FF006666"/>
      </font>
      <fill>
        <patternFill>
          <bgColor theme="6" tint="0.59996337778862885"/>
        </patternFill>
      </fill>
    </dxf>
    <dxf>
      <font>
        <b/>
        <i val="0"/>
        <color theme="9" tint="-0.499984740745262"/>
      </font>
      <fill>
        <patternFill>
          <bgColor rgb="FFFFFFCC"/>
        </patternFill>
      </fill>
    </dxf>
    <dxf>
      <fill>
        <patternFill>
          <bgColor theme="8" tint="0.59996337778862885"/>
        </patternFill>
      </fill>
    </dxf>
    <dxf>
      <font>
        <b/>
        <i val="0"/>
        <color theme="9" tint="-0.499984740745262"/>
      </font>
      <fill>
        <patternFill>
          <bgColor theme="9" tint="0.59996337778862885"/>
        </patternFill>
      </fill>
    </dxf>
    <dxf>
      <font>
        <b/>
        <i val="0"/>
        <color theme="0" tint="-0.14996795556505021"/>
      </font>
      <fill>
        <patternFill>
          <bgColor theme="0" tint="-0.14996795556505021"/>
        </patternFill>
      </fill>
    </dxf>
    <dxf>
      <font>
        <b/>
        <i val="0"/>
        <color theme="9" tint="-0.499984740745262"/>
      </font>
      <fill>
        <patternFill>
          <bgColor theme="9" tint="0.59996337778862885"/>
        </patternFill>
      </fill>
    </dxf>
    <dxf>
      <font>
        <b/>
        <i val="0"/>
        <color theme="0" tint="-0.14996795556505021"/>
      </font>
      <fill>
        <patternFill>
          <bgColor theme="0" tint="-0.14996795556505021"/>
        </patternFill>
      </fill>
    </dxf>
    <dxf>
      <font>
        <b/>
        <i val="0"/>
        <color theme="0" tint="-0.499984740745262"/>
      </font>
      <fill>
        <patternFill>
          <bgColor theme="0" tint="-0.14996795556505021"/>
        </patternFill>
      </fill>
    </dxf>
    <dxf>
      <font>
        <b/>
        <i val="0"/>
        <color rgb="FF7030A0"/>
      </font>
      <fill>
        <patternFill>
          <bgColor theme="7" tint="0.79998168889431442"/>
        </patternFill>
      </fill>
    </dxf>
    <dxf>
      <fill>
        <patternFill>
          <bgColor theme="6" tint="0.39994506668294322"/>
        </patternFill>
      </fill>
    </dxf>
    <dxf>
      <font>
        <b/>
        <i val="0"/>
        <color theme="0" tint="-0.14996795556505021"/>
      </font>
      <fill>
        <patternFill>
          <bgColor theme="0" tint="-0.14996795556505021"/>
        </patternFill>
      </fill>
    </dxf>
    <dxf>
      <fill>
        <patternFill>
          <bgColor theme="6" tint="0.39994506668294322"/>
        </patternFill>
      </fill>
    </dxf>
    <dxf>
      <fill>
        <patternFill>
          <bgColor theme="6" tint="0.39994506668294322"/>
        </patternFill>
      </fill>
    </dxf>
    <dxf>
      <font>
        <b/>
        <i val="0"/>
        <color rgb="FF006666"/>
      </font>
      <fill>
        <patternFill>
          <bgColor theme="6" tint="0.39994506668294322"/>
        </patternFill>
      </fill>
    </dxf>
    <dxf>
      <font>
        <b/>
        <i val="0"/>
        <color rgb="FF006666"/>
      </font>
      <fill>
        <patternFill>
          <bgColor theme="6" tint="0.59996337778862885"/>
        </patternFill>
      </fill>
    </dxf>
    <dxf>
      <font>
        <b/>
        <i val="0"/>
        <color theme="9" tint="-0.499984740745262"/>
      </font>
      <fill>
        <patternFill>
          <bgColor theme="9" tint="0.59996337778862885"/>
        </patternFill>
      </fill>
    </dxf>
    <dxf>
      <fill>
        <patternFill>
          <bgColor theme="8" tint="0.59996337778862885"/>
        </patternFill>
      </fill>
    </dxf>
    <dxf>
      <font>
        <b/>
        <i val="0"/>
        <color theme="0" tint="-0.14996795556505021"/>
      </font>
      <fill>
        <patternFill>
          <bgColor theme="0" tint="-0.14996795556505021"/>
        </patternFill>
      </fill>
    </dxf>
    <dxf>
      <font>
        <b/>
        <i val="0"/>
        <color theme="0" tint="-0.499984740745262"/>
      </font>
      <fill>
        <patternFill>
          <bgColor theme="0" tint="-0.14996795556505021"/>
        </patternFill>
      </fill>
    </dxf>
    <dxf>
      <font>
        <b/>
        <i val="0"/>
        <color theme="0" tint="-0.14996795556505021"/>
      </font>
      <fill>
        <patternFill>
          <bgColor theme="0" tint="-0.14996795556505021"/>
        </patternFill>
      </fill>
    </dxf>
    <dxf>
      <font>
        <b/>
        <i val="0"/>
        <color rgb="FF006666"/>
      </font>
      <fill>
        <patternFill>
          <bgColor theme="6" tint="0.59996337778862885"/>
        </patternFill>
      </fill>
    </dxf>
    <dxf>
      <font>
        <b/>
        <i val="0"/>
        <color theme="9" tint="-0.499984740745262"/>
      </font>
      <fill>
        <patternFill>
          <bgColor theme="9" tint="0.59996337778862885"/>
        </patternFill>
      </fill>
    </dxf>
    <dxf>
      <font>
        <b/>
        <i val="0"/>
        <color rgb="FF006666"/>
      </font>
      <fill>
        <patternFill>
          <bgColor theme="6" tint="0.59996337778862885"/>
        </patternFill>
      </fill>
    </dxf>
    <dxf>
      <font>
        <b/>
        <i val="0"/>
        <color theme="9" tint="-0.499984740745262"/>
      </font>
      <fill>
        <patternFill>
          <bgColor theme="9" tint="0.59996337778862885"/>
        </patternFill>
      </fill>
    </dxf>
    <dxf>
      <fill>
        <patternFill>
          <bgColor theme="7" tint="0.79998168889431442"/>
        </patternFill>
      </fill>
    </dxf>
    <dxf>
      <font>
        <b/>
        <i val="0"/>
        <color rgb="FF006666"/>
      </font>
      <fill>
        <patternFill>
          <bgColor theme="6" tint="0.59996337778862885"/>
        </patternFill>
      </fill>
    </dxf>
    <dxf>
      <font>
        <b/>
        <i val="0"/>
        <color theme="9" tint="-0.499984740745262"/>
      </font>
      <fill>
        <patternFill>
          <bgColor theme="9" tint="0.59996337778862885"/>
        </patternFill>
      </fill>
    </dxf>
    <dxf>
      <font>
        <b/>
        <i val="0"/>
        <color rgb="FF006666"/>
      </font>
      <fill>
        <patternFill>
          <bgColor theme="6" tint="0.59996337778862885"/>
        </patternFill>
      </fill>
    </dxf>
    <dxf>
      <font>
        <b/>
        <i val="0"/>
        <color rgb="FFFFFF00"/>
      </font>
      <fill>
        <patternFill>
          <bgColor rgb="FFFF0000"/>
        </patternFill>
      </fill>
    </dxf>
    <dxf>
      <font>
        <b/>
        <i val="0"/>
        <color theme="9" tint="-0.499984740745262"/>
      </font>
      <fill>
        <patternFill>
          <bgColor rgb="FFFFFFCC"/>
        </patternFill>
      </fill>
    </dxf>
    <dxf>
      <font>
        <b/>
        <i val="0"/>
        <color theme="9" tint="-0.499984740745262"/>
      </font>
    </dxf>
    <dxf>
      <font>
        <b/>
        <i val="0"/>
        <color rgb="FFFF0000"/>
      </font>
    </dxf>
    <dxf>
      <font>
        <b/>
        <i val="0"/>
        <color theme="0"/>
      </font>
      <fill>
        <patternFill>
          <bgColor theme="0"/>
        </patternFill>
      </fill>
      <border>
        <left/>
        <right/>
        <top/>
        <bottom/>
        <vertical/>
        <horizontal/>
      </border>
    </dxf>
    <dxf>
      <font>
        <b/>
        <i val="0"/>
        <condense val="0"/>
        <extend val="0"/>
        <color indexed="21"/>
      </font>
      <fill>
        <patternFill>
          <bgColor indexed="42"/>
        </patternFill>
      </fill>
    </dxf>
    <dxf>
      <font>
        <b/>
        <i val="0"/>
        <condense val="0"/>
        <extend val="0"/>
        <color indexed="60"/>
      </font>
      <fill>
        <patternFill>
          <bgColor indexed="26"/>
        </patternFill>
      </fill>
    </dxf>
    <dxf>
      <font>
        <b/>
        <i val="0"/>
        <color rgb="FFC00000"/>
      </font>
    </dxf>
    <dxf>
      <font>
        <b/>
        <i val="0"/>
        <color rgb="FF006666"/>
      </font>
    </dxf>
    <dxf>
      <font>
        <b/>
        <i val="0"/>
        <color rgb="FFC00000"/>
      </font>
    </dxf>
    <dxf>
      <font>
        <b/>
        <i val="0"/>
        <color rgb="FFC00000"/>
      </font>
    </dxf>
    <dxf>
      <font>
        <b/>
        <i val="0"/>
        <color rgb="FFC00000"/>
      </font>
    </dxf>
    <dxf>
      <font>
        <b/>
        <i/>
        <color rgb="FFC00000"/>
      </font>
    </dxf>
    <dxf>
      <font>
        <b/>
        <i/>
        <color theme="9" tint="-0.499984740745262"/>
      </font>
    </dxf>
    <dxf>
      <font>
        <b/>
        <i val="0"/>
        <color theme="0" tint="-0.14996795556505021"/>
      </font>
    </dxf>
    <dxf>
      <font>
        <b/>
        <i val="0"/>
        <color theme="7" tint="0.39994506668294322"/>
      </font>
    </dxf>
    <dxf>
      <font>
        <color theme="0"/>
      </font>
    </dxf>
    <dxf>
      <font>
        <b/>
        <i val="0"/>
        <color theme="0" tint="-0.14996795556505021"/>
      </font>
    </dxf>
    <dxf>
      <font>
        <b/>
        <i val="0"/>
        <color theme="0" tint="-0.14996795556505021"/>
      </font>
    </dxf>
    <dxf>
      <font>
        <b/>
        <i val="0"/>
        <color rgb="FFFFFF00"/>
      </font>
      <fill>
        <patternFill>
          <bgColor rgb="FFC00000"/>
        </patternFill>
      </fill>
    </dxf>
    <dxf>
      <font>
        <b/>
        <i val="0"/>
        <color theme="0" tint="-4.9989318521683403E-2"/>
      </font>
    </dxf>
    <dxf>
      <font>
        <b/>
        <i val="0"/>
        <color theme="0" tint="-0.14996795556505021"/>
      </font>
    </dxf>
    <dxf>
      <font>
        <b/>
        <i val="0"/>
        <color theme="0"/>
      </font>
    </dxf>
    <dxf>
      <font>
        <b/>
        <i val="0"/>
        <color theme="0" tint="-0.14996795556505021"/>
      </font>
    </dxf>
    <dxf>
      <font>
        <b/>
        <i val="0"/>
        <color rgb="FFFFFF00"/>
      </font>
      <fill>
        <patternFill>
          <bgColor rgb="FFC00000"/>
        </patternFill>
      </fill>
    </dxf>
    <dxf>
      <font>
        <b/>
        <i val="0"/>
        <color rgb="FFFFFF00"/>
      </font>
      <fill>
        <patternFill>
          <bgColor rgb="FFC00000"/>
        </patternFill>
      </fill>
    </dxf>
    <dxf>
      <font>
        <b/>
        <i val="0"/>
        <color rgb="FFFFFF00"/>
      </font>
      <fill>
        <patternFill>
          <bgColor rgb="FFC00000"/>
        </patternFill>
      </fill>
    </dxf>
    <dxf>
      <font>
        <b/>
        <i val="0"/>
        <color rgb="FFFFFF00"/>
      </font>
      <fill>
        <patternFill>
          <bgColor rgb="FFC00000"/>
        </patternFill>
      </fill>
    </dxf>
    <dxf>
      <font>
        <b/>
        <i val="0"/>
        <color rgb="FFFFFF00"/>
      </font>
      <fill>
        <patternFill>
          <bgColor rgb="FFC00000"/>
        </patternFill>
      </fill>
    </dxf>
    <dxf>
      <font>
        <b/>
        <i val="0"/>
        <color rgb="FFFFFF00"/>
      </font>
      <fill>
        <patternFill>
          <bgColor rgb="FFC00000"/>
        </patternFill>
      </fill>
    </dxf>
    <dxf>
      <font>
        <b/>
        <i val="0"/>
        <color theme="0" tint="-0.14996795556505021"/>
      </font>
    </dxf>
    <dxf>
      <font>
        <b/>
        <i val="0"/>
        <color rgb="FFFFFF00"/>
      </font>
      <fill>
        <patternFill>
          <bgColor rgb="FFC00000"/>
        </patternFill>
      </fill>
    </dxf>
    <dxf>
      <font>
        <b/>
        <i val="0"/>
        <color rgb="FFFFFF00"/>
      </font>
      <fill>
        <patternFill>
          <bgColor rgb="FFC00000"/>
        </patternFill>
      </fill>
    </dxf>
    <dxf>
      <font>
        <b/>
        <i val="0"/>
        <color rgb="FFFFFF00"/>
      </font>
      <fill>
        <patternFill>
          <bgColor rgb="FFC00000"/>
        </patternFill>
      </fill>
    </dxf>
    <dxf>
      <font>
        <b/>
        <i val="0"/>
        <color rgb="FFFFFF00"/>
      </font>
      <fill>
        <patternFill>
          <bgColor rgb="FFC00000"/>
        </patternFill>
      </fill>
    </dxf>
    <dxf>
      <font>
        <b/>
        <i val="0"/>
        <color theme="7" tint="0.79998168889431442"/>
      </font>
    </dxf>
    <dxf>
      <font>
        <b/>
        <i val="0"/>
        <color theme="7" tint="0.79998168889431442"/>
      </font>
    </dxf>
    <dxf>
      <font>
        <b/>
        <i val="0"/>
        <color theme="7" tint="0.79998168889431442"/>
      </font>
    </dxf>
    <dxf>
      <font>
        <b/>
        <i val="0"/>
        <color theme="0"/>
      </font>
    </dxf>
    <dxf>
      <font>
        <b/>
        <i val="0"/>
        <color rgb="FFC00000"/>
      </font>
      <fill>
        <patternFill>
          <bgColor rgb="FFFFCCCC"/>
        </patternFill>
      </fill>
    </dxf>
    <dxf>
      <font>
        <b/>
        <i val="0"/>
        <color rgb="FF006666"/>
      </font>
      <fill>
        <patternFill>
          <bgColor theme="6" tint="0.39994506668294322"/>
        </patternFill>
      </fill>
    </dxf>
    <dxf>
      <font>
        <b/>
        <i val="0"/>
        <color rgb="FFFFFF00"/>
      </font>
      <fill>
        <patternFill>
          <bgColor rgb="FFC00000"/>
        </patternFill>
      </fill>
    </dxf>
    <dxf>
      <font>
        <b/>
        <i val="0"/>
        <color rgb="FFFFFF00"/>
      </font>
      <fill>
        <patternFill>
          <bgColor rgb="FFFF0000"/>
        </patternFill>
      </fill>
    </dxf>
    <dxf>
      <font>
        <b/>
        <i val="0"/>
        <color rgb="FFFFFF00"/>
      </font>
      <fill>
        <patternFill>
          <bgColor rgb="FFFF0000"/>
        </patternFill>
      </fill>
    </dxf>
    <dxf>
      <font>
        <b/>
        <i val="0"/>
        <color theme="5" tint="0.79998168889431442"/>
      </font>
    </dxf>
    <dxf>
      <font>
        <b/>
        <i val="0"/>
        <color theme="0" tint="-0.14996795556505021"/>
      </font>
    </dxf>
    <dxf>
      <font>
        <b/>
        <i val="0"/>
        <color theme="9" tint="0.79998168889431442"/>
      </font>
    </dxf>
    <dxf>
      <font>
        <b/>
        <i val="0"/>
        <color theme="8" tint="0.79998168889431442"/>
      </font>
    </dxf>
    <dxf>
      <font>
        <b/>
        <i val="0"/>
        <color rgb="FFFF0000"/>
      </font>
      <fill>
        <patternFill>
          <bgColor rgb="FFFF0000"/>
        </patternFill>
      </fill>
    </dxf>
    <dxf>
      <font>
        <b/>
        <i val="0"/>
        <color theme="0"/>
      </font>
      <fill>
        <patternFill>
          <bgColor theme="0"/>
        </patternFill>
      </fill>
      <border>
        <left/>
        <right/>
        <top/>
        <bottom/>
        <vertical/>
        <horizontal/>
      </border>
    </dxf>
    <dxf>
      <font>
        <b/>
        <i val="0"/>
        <color rgb="FFFFFF00"/>
      </font>
      <fill>
        <patternFill>
          <bgColor rgb="FFC00000"/>
        </patternFill>
      </fill>
    </dxf>
    <dxf>
      <font>
        <b/>
        <i val="0"/>
        <color rgb="FFC00000"/>
      </font>
      <fill>
        <patternFill>
          <bgColor rgb="FFC00000"/>
        </patternFill>
      </fill>
    </dxf>
    <dxf>
      <font>
        <b/>
        <i val="0"/>
        <color rgb="FFC00000"/>
      </font>
      <fill>
        <patternFill>
          <bgColor rgb="FFC00000"/>
        </patternFill>
      </fill>
    </dxf>
    <dxf>
      <font>
        <b/>
        <i val="0"/>
        <color rgb="FFC00000"/>
      </font>
      <fill>
        <patternFill>
          <bgColor rgb="FFC00000"/>
        </patternFill>
      </fill>
    </dxf>
    <dxf>
      <fill>
        <patternFill>
          <bgColor rgb="FFFF0000"/>
        </patternFill>
      </fill>
    </dxf>
    <dxf>
      <fill>
        <patternFill>
          <bgColor theme="0" tint="-0.499984740745262"/>
        </patternFill>
      </fill>
    </dxf>
    <dxf>
      <font>
        <b/>
        <i val="0"/>
        <color theme="0" tint="-4.9989318521683403E-2"/>
      </font>
    </dxf>
    <dxf>
      <font>
        <b/>
        <i val="0"/>
        <color rgb="FFFF0000"/>
      </font>
    </dxf>
    <dxf>
      <font>
        <b/>
        <i val="0"/>
        <color theme="9" tint="0.79998168889431442"/>
      </font>
    </dxf>
    <dxf>
      <font>
        <b/>
        <i val="0"/>
        <color rgb="FFFFFF00"/>
      </font>
      <fill>
        <patternFill>
          <bgColor rgb="FFC00000"/>
        </patternFill>
      </fill>
    </dxf>
    <dxf>
      <font>
        <b/>
        <i val="0"/>
        <color rgb="FFC00000"/>
      </font>
      <fill>
        <patternFill>
          <bgColor rgb="FFC00000"/>
        </patternFill>
      </fill>
    </dxf>
    <dxf>
      <font>
        <b/>
        <i val="0"/>
        <color rgb="FFC00000"/>
      </font>
    </dxf>
    <dxf>
      <font>
        <b/>
        <i val="0"/>
        <color rgb="FFFFFF00"/>
      </font>
      <fill>
        <patternFill>
          <bgColor rgb="FFC00000"/>
        </patternFill>
      </fill>
    </dxf>
    <dxf>
      <font>
        <b/>
        <i val="0"/>
        <color rgb="FFFFFF00"/>
      </font>
      <fill>
        <patternFill>
          <bgColor rgb="FFC00000"/>
        </patternFill>
      </fill>
    </dxf>
    <dxf>
      <font>
        <b/>
        <i val="0"/>
        <color rgb="FFC00000"/>
      </font>
      <fill>
        <patternFill>
          <bgColor rgb="FFC00000"/>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b/>
        <i val="0"/>
        <color theme="0"/>
      </font>
      <fill>
        <patternFill>
          <bgColor theme="0"/>
        </patternFill>
      </fill>
      <border>
        <left/>
        <right/>
        <top/>
        <bottom/>
      </border>
    </dxf>
    <dxf>
      <font>
        <color theme="0"/>
      </font>
      <fill>
        <patternFill>
          <bgColor theme="0"/>
        </patternFill>
      </fill>
      <border>
        <left/>
        <right/>
        <top/>
        <bottom/>
        <vertical/>
        <horizontal/>
      </border>
    </dxf>
    <dxf>
      <font>
        <b/>
        <i val="0"/>
        <color theme="9" tint="-0.499984740745262"/>
      </font>
      <fill>
        <patternFill>
          <bgColor rgb="FFFFFF99"/>
        </patternFill>
      </fill>
    </dxf>
    <dxf>
      <font>
        <b/>
        <i val="0"/>
        <color rgb="FF006666"/>
      </font>
      <fill>
        <patternFill>
          <bgColor theme="6" tint="0.39994506668294322"/>
        </patternFill>
      </fill>
    </dxf>
    <dxf>
      <font>
        <b/>
        <i val="0"/>
        <color rgb="FFFF0000"/>
      </font>
      <fill>
        <patternFill>
          <bgColor rgb="FFFFCCCC"/>
        </patternFill>
      </fill>
    </dxf>
    <dxf>
      <font>
        <b/>
        <i val="0"/>
        <color rgb="FFFFFF00"/>
      </font>
      <fill>
        <patternFill>
          <bgColor rgb="FFFF0000"/>
        </patternFill>
      </fill>
      <border>
        <left style="thin">
          <color auto="1"/>
        </left>
        <right style="thin">
          <color auto="1"/>
        </right>
        <top style="thin">
          <color auto="1"/>
        </top>
        <bottom style="thin">
          <color auto="1"/>
        </bottom>
      </border>
    </dxf>
    <dxf>
      <font>
        <color theme="0"/>
      </font>
      <fill>
        <patternFill>
          <bgColor theme="0"/>
        </patternFill>
      </fill>
      <border>
        <left/>
        <right/>
        <top/>
        <bottom/>
        <vertical/>
        <horizontal/>
      </border>
    </dxf>
    <dxf>
      <fill>
        <patternFill>
          <bgColor rgb="FFFF0000"/>
        </patternFill>
      </fill>
    </dxf>
    <dxf>
      <font>
        <b/>
        <i val="0"/>
        <color rgb="FFFFFF00"/>
      </font>
      <fill>
        <patternFill>
          <bgColor rgb="FFC00000"/>
        </patternFill>
      </fill>
    </dxf>
    <dxf>
      <font>
        <b/>
        <i val="0"/>
        <color rgb="FFC00000"/>
      </font>
      <fill>
        <patternFill>
          <bgColor rgb="FFC00000"/>
        </patternFill>
      </fill>
    </dxf>
    <dxf>
      <font>
        <b/>
        <i val="0"/>
        <color rgb="FFC00000"/>
      </font>
      <fill>
        <patternFill>
          <bgColor rgb="FFC00000"/>
        </patternFill>
      </fill>
    </dxf>
    <dxf>
      <fill>
        <patternFill>
          <bgColor rgb="FFFF0000"/>
        </patternFill>
      </fill>
    </dxf>
    <dxf>
      <fill>
        <patternFill>
          <bgColor theme="0" tint="-0.499984740745262"/>
        </patternFill>
      </fill>
    </dxf>
    <dxf>
      <font>
        <b/>
        <i val="0"/>
        <color rgb="FFFFFF00"/>
      </font>
      <fill>
        <patternFill>
          <bgColor rgb="FFFF0000"/>
        </patternFill>
      </fill>
    </dxf>
    <dxf>
      <font>
        <color theme="0" tint="-0.24994659260841701"/>
      </font>
      <fill>
        <patternFill>
          <bgColor theme="0" tint="-0.24994659260841701"/>
        </patternFill>
      </fill>
    </dxf>
    <dxf>
      <font>
        <b/>
        <i val="0"/>
        <color rgb="FFFFFF00"/>
      </font>
      <fill>
        <patternFill>
          <bgColor rgb="FFFF0000"/>
        </patternFill>
      </fill>
    </dxf>
    <dxf>
      <font>
        <color theme="0" tint="-0.24994659260841701"/>
      </font>
      <fill>
        <patternFill>
          <bgColor theme="0" tint="-0.24994659260841701"/>
        </patternFill>
      </fill>
    </dxf>
    <dxf>
      <font>
        <b/>
        <i val="0"/>
        <color rgb="FFC00000"/>
      </font>
      <fill>
        <patternFill>
          <bgColor theme="0" tint="-0.24994659260841701"/>
        </patternFill>
      </fill>
    </dxf>
    <dxf>
      <font>
        <color rgb="FFFFFF00"/>
      </font>
      <fill>
        <patternFill>
          <bgColor rgb="FFFF0000"/>
        </patternFill>
      </fill>
    </dxf>
    <dxf>
      <font>
        <b/>
        <i val="0"/>
        <color rgb="FFC00000"/>
      </font>
      <fill>
        <patternFill>
          <bgColor rgb="FFC00000"/>
        </patternFill>
      </fill>
    </dxf>
    <dxf>
      <font>
        <b/>
        <i val="0"/>
        <condense val="0"/>
        <extend val="0"/>
        <color indexed="10"/>
      </font>
    </dxf>
    <dxf>
      <font>
        <b/>
        <i val="0"/>
        <condense val="0"/>
        <extend val="0"/>
        <color indexed="21"/>
      </font>
    </dxf>
    <dxf>
      <font>
        <b/>
        <i val="0"/>
        <color rgb="FFFFFF00"/>
      </font>
      <fill>
        <patternFill>
          <bgColor rgb="FFFF0000"/>
        </patternFill>
      </fill>
    </dxf>
    <dxf>
      <font>
        <color theme="0" tint="-0.24994659260841701"/>
      </font>
    </dxf>
    <dxf>
      <font>
        <b/>
        <i val="0"/>
        <color theme="0"/>
      </font>
      <fill>
        <patternFill>
          <bgColor theme="0" tint="-0.499984740745262"/>
        </patternFill>
      </fill>
    </dxf>
    <dxf>
      <font>
        <b/>
        <i val="0"/>
        <color theme="0"/>
      </font>
      <fill>
        <patternFill>
          <bgColor theme="0" tint="-0.499984740745262"/>
        </patternFill>
      </fill>
    </dxf>
    <dxf>
      <font>
        <color theme="9" tint="-0.499984740745262"/>
      </font>
    </dxf>
    <dxf>
      <font>
        <b/>
        <i val="0"/>
        <color theme="1"/>
      </font>
      <fill>
        <patternFill>
          <bgColor theme="0"/>
        </patternFill>
      </fill>
    </dxf>
    <dxf>
      <font>
        <b/>
        <i val="0"/>
        <color rgb="FFFFFF00"/>
      </font>
      <fill>
        <patternFill>
          <bgColor rgb="FFC00000"/>
        </patternFill>
      </fill>
    </dxf>
    <dxf>
      <font>
        <b/>
        <i val="0"/>
        <color rgb="FFFFFF00"/>
      </font>
      <fill>
        <patternFill>
          <bgColor rgb="FFC00000"/>
        </patternFill>
      </fill>
    </dxf>
    <dxf>
      <font>
        <b/>
        <i val="0"/>
        <color theme="1" tint="0.24994659260841701"/>
      </font>
      <fill>
        <patternFill>
          <bgColor rgb="FF969696"/>
        </patternFill>
      </fill>
    </dxf>
    <dxf>
      <font>
        <b/>
        <i val="0"/>
        <color rgb="FFFFFF00"/>
      </font>
      <fill>
        <patternFill>
          <bgColor rgb="FFC00000"/>
        </patternFill>
      </fill>
    </dxf>
    <dxf>
      <font>
        <b/>
        <i val="0"/>
        <color rgb="FFC00000"/>
      </font>
      <fill>
        <patternFill>
          <bgColor rgb="FFC00000"/>
        </patternFill>
      </fill>
    </dxf>
    <dxf>
      <font>
        <b/>
        <i val="0"/>
        <color rgb="FFC00000"/>
      </font>
      <fill>
        <patternFill>
          <bgColor rgb="FFC00000"/>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b/>
        <i val="0"/>
        <color theme="0"/>
      </font>
      <fill>
        <patternFill>
          <bgColor theme="0"/>
        </patternFill>
      </fill>
      <border>
        <left/>
        <right/>
        <top/>
        <bottom/>
      </border>
    </dxf>
    <dxf>
      <font>
        <color theme="0"/>
      </font>
      <fill>
        <patternFill>
          <bgColor theme="0"/>
        </patternFill>
      </fill>
      <border>
        <left/>
        <right/>
        <top/>
        <bottom/>
        <vertical/>
        <horizontal/>
      </border>
    </dxf>
    <dxf>
      <font>
        <b/>
        <i val="0"/>
        <color theme="9" tint="-0.499984740745262"/>
      </font>
      <fill>
        <patternFill>
          <bgColor rgb="FFFFFF99"/>
        </patternFill>
      </fill>
    </dxf>
    <dxf>
      <font>
        <b/>
        <i val="0"/>
        <color rgb="FF006666"/>
      </font>
      <fill>
        <patternFill>
          <bgColor theme="6" tint="0.39994506668294322"/>
        </patternFill>
      </fill>
    </dxf>
    <dxf>
      <font>
        <b/>
        <i val="0"/>
        <color rgb="FFFF0000"/>
      </font>
      <fill>
        <patternFill>
          <bgColor rgb="FFFFCCCC"/>
        </patternFill>
      </fill>
    </dxf>
    <dxf>
      <font>
        <b/>
        <i val="0"/>
        <color rgb="FFFFFF00"/>
      </font>
      <fill>
        <patternFill>
          <bgColor rgb="FFFF0000"/>
        </patternFill>
      </fill>
      <border>
        <left style="thin">
          <color auto="1"/>
        </left>
        <right style="thin">
          <color auto="1"/>
        </right>
        <top style="thin">
          <color auto="1"/>
        </top>
        <bottom style="thin">
          <color auto="1"/>
        </bottom>
      </border>
    </dxf>
    <dxf>
      <font>
        <color theme="0"/>
      </font>
      <fill>
        <patternFill>
          <bgColor theme="0"/>
        </patternFill>
      </fill>
      <border>
        <left/>
        <right/>
        <top/>
        <bottom/>
        <vertical/>
        <horizontal/>
      </border>
    </dxf>
    <dxf>
      <fill>
        <patternFill>
          <bgColor rgb="FFFF0000"/>
        </patternFill>
      </fill>
    </dxf>
    <dxf>
      <font>
        <b/>
        <i val="0"/>
        <color rgb="FFFFFF00"/>
      </font>
      <fill>
        <patternFill>
          <bgColor rgb="FFC00000"/>
        </patternFill>
      </fill>
    </dxf>
    <dxf>
      <font>
        <b/>
        <i val="0"/>
        <color rgb="FFC00000"/>
      </font>
      <fill>
        <patternFill>
          <bgColor rgb="FFC00000"/>
        </patternFill>
      </fill>
    </dxf>
    <dxf>
      <fill>
        <patternFill>
          <bgColor rgb="FFFF0000"/>
        </patternFill>
      </fill>
    </dxf>
    <dxf>
      <fill>
        <patternFill>
          <bgColor theme="0" tint="-0.499984740745262"/>
        </patternFill>
      </fill>
    </dxf>
    <dxf>
      <font>
        <b/>
        <i val="0"/>
        <color rgb="FFFFFF00"/>
      </font>
      <fill>
        <patternFill>
          <bgColor rgb="FFFF0000"/>
        </patternFill>
      </fill>
    </dxf>
    <dxf>
      <font>
        <color theme="0" tint="-0.24994659260841701"/>
      </font>
      <fill>
        <patternFill>
          <bgColor theme="0" tint="-0.24994659260841701"/>
        </patternFill>
      </fill>
    </dxf>
    <dxf>
      <font>
        <b/>
        <i val="0"/>
        <color rgb="FFFFFF00"/>
      </font>
      <fill>
        <patternFill>
          <bgColor rgb="FFFF0000"/>
        </patternFill>
      </fill>
    </dxf>
    <dxf>
      <font>
        <color theme="0" tint="-0.24994659260841701"/>
      </font>
      <fill>
        <patternFill>
          <bgColor theme="0" tint="-0.24994659260841701"/>
        </patternFill>
      </fill>
    </dxf>
    <dxf>
      <font>
        <b/>
        <i val="0"/>
        <color rgb="FFC00000"/>
      </font>
      <fill>
        <patternFill>
          <bgColor theme="0" tint="-0.24994659260841701"/>
        </patternFill>
      </fill>
    </dxf>
    <dxf>
      <font>
        <color rgb="FFFFFF00"/>
      </font>
      <fill>
        <patternFill>
          <bgColor rgb="FFFF0000"/>
        </patternFill>
      </fill>
    </dxf>
    <dxf>
      <font>
        <b/>
        <i val="0"/>
        <color rgb="FFC00000"/>
      </font>
      <fill>
        <patternFill>
          <bgColor rgb="FFC00000"/>
        </patternFill>
      </fill>
    </dxf>
    <dxf>
      <font>
        <b/>
        <i val="0"/>
        <condense val="0"/>
        <extend val="0"/>
        <color indexed="10"/>
      </font>
    </dxf>
    <dxf>
      <font>
        <b/>
        <i val="0"/>
        <condense val="0"/>
        <extend val="0"/>
        <color indexed="21"/>
      </font>
    </dxf>
    <dxf>
      <font>
        <b/>
        <i val="0"/>
        <color rgb="FFFFFF00"/>
      </font>
      <fill>
        <patternFill>
          <bgColor rgb="FFFF0000"/>
        </patternFill>
      </fill>
    </dxf>
    <dxf>
      <font>
        <color theme="0" tint="-0.24994659260841701"/>
      </font>
    </dxf>
    <dxf>
      <font>
        <b/>
        <i val="0"/>
        <color theme="0"/>
      </font>
      <fill>
        <patternFill>
          <bgColor theme="0" tint="-0.499984740745262"/>
        </patternFill>
      </fill>
    </dxf>
    <dxf>
      <font>
        <b/>
        <i val="0"/>
        <color theme="0"/>
      </font>
      <fill>
        <patternFill>
          <bgColor theme="0" tint="-0.499984740745262"/>
        </patternFill>
      </fill>
    </dxf>
    <dxf>
      <font>
        <color theme="9" tint="-0.499984740745262"/>
      </font>
    </dxf>
    <dxf>
      <font>
        <b/>
        <i val="0"/>
        <color theme="1"/>
      </font>
      <fill>
        <patternFill>
          <bgColor theme="0"/>
        </patternFill>
      </fill>
    </dxf>
    <dxf>
      <font>
        <b/>
        <i val="0"/>
        <color rgb="FFFFFF00"/>
      </font>
      <fill>
        <patternFill>
          <bgColor rgb="FFC00000"/>
        </patternFill>
      </fill>
    </dxf>
    <dxf>
      <font>
        <b/>
        <i val="0"/>
        <color rgb="FFFFFF00"/>
      </font>
      <fill>
        <patternFill>
          <bgColor rgb="FFC00000"/>
        </patternFill>
      </fill>
    </dxf>
    <dxf>
      <font>
        <b/>
        <i val="0"/>
        <color theme="1" tint="0.24994659260841701"/>
      </font>
      <fill>
        <patternFill>
          <bgColor rgb="FF969696"/>
        </patternFill>
      </fill>
    </dxf>
    <dxf>
      <font>
        <b/>
        <i val="0"/>
        <color rgb="FFFFFF00"/>
      </font>
      <fill>
        <patternFill>
          <bgColor rgb="FFC00000"/>
        </patternFill>
      </fill>
    </dxf>
    <dxf>
      <font>
        <b/>
        <i val="0"/>
        <color rgb="FFC00000"/>
      </font>
      <fill>
        <patternFill>
          <bgColor rgb="FFC00000"/>
        </patternFill>
      </fill>
    </dxf>
    <dxf>
      <font>
        <b/>
        <i val="0"/>
        <color rgb="FFC00000"/>
      </font>
      <fill>
        <patternFill>
          <bgColor rgb="FFC00000"/>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b/>
        <i val="0"/>
        <color theme="0"/>
      </font>
      <fill>
        <patternFill>
          <bgColor theme="0"/>
        </patternFill>
      </fill>
      <border>
        <left/>
        <right/>
        <top/>
        <bottom/>
      </border>
    </dxf>
    <dxf>
      <font>
        <color theme="0"/>
      </font>
      <fill>
        <patternFill>
          <bgColor theme="0"/>
        </patternFill>
      </fill>
      <border>
        <left/>
        <right/>
        <top/>
        <bottom/>
        <vertical/>
        <horizontal/>
      </border>
    </dxf>
    <dxf>
      <font>
        <b/>
        <i val="0"/>
        <color theme="9" tint="-0.499984740745262"/>
      </font>
      <fill>
        <patternFill>
          <bgColor rgb="FFFFFF99"/>
        </patternFill>
      </fill>
    </dxf>
    <dxf>
      <font>
        <b/>
        <i val="0"/>
        <color rgb="FF006666"/>
      </font>
      <fill>
        <patternFill>
          <bgColor theme="6" tint="0.39994506668294322"/>
        </patternFill>
      </fill>
    </dxf>
    <dxf>
      <font>
        <b/>
        <i val="0"/>
        <color rgb="FFFF0000"/>
      </font>
      <fill>
        <patternFill>
          <bgColor rgb="FFFFCCCC"/>
        </patternFill>
      </fill>
    </dxf>
    <dxf>
      <font>
        <b/>
        <i val="0"/>
        <color rgb="FFFFFF00"/>
      </font>
      <fill>
        <patternFill>
          <bgColor rgb="FFFF0000"/>
        </patternFill>
      </fill>
      <border>
        <left style="thin">
          <color auto="1"/>
        </left>
        <right style="thin">
          <color auto="1"/>
        </right>
        <top style="thin">
          <color auto="1"/>
        </top>
        <bottom style="thin">
          <color auto="1"/>
        </bottom>
      </border>
    </dxf>
    <dxf>
      <font>
        <color theme="0"/>
      </font>
      <fill>
        <patternFill>
          <bgColor theme="0"/>
        </patternFill>
      </fill>
      <border>
        <left/>
        <right/>
        <top/>
        <bottom/>
        <vertical/>
        <horizontal/>
      </border>
    </dxf>
    <dxf>
      <fill>
        <patternFill>
          <bgColor rgb="FFFF0000"/>
        </patternFill>
      </fill>
    </dxf>
    <dxf>
      <font>
        <b/>
        <i val="0"/>
        <color rgb="FFFFFF00"/>
      </font>
      <fill>
        <patternFill>
          <bgColor rgb="FFC00000"/>
        </patternFill>
      </fill>
    </dxf>
    <dxf>
      <font>
        <b/>
        <i val="0"/>
        <color rgb="FFC00000"/>
      </font>
      <fill>
        <patternFill>
          <bgColor rgb="FFC00000"/>
        </patternFill>
      </fill>
    </dxf>
    <dxf>
      <font>
        <b/>
        <i val="0"/>
        <color rgb="FFC00000"/>
      </font>
      <fill>
        <patternFill>
          <bgColor rgb="FFC00000"/>
        </patternFill>
      </fill>
    </dxf>
    <dxf>
      <fill>
        <patternFill>
          <bgColor rgb="FFFF0000"/>
        </patternFill>
      </fill>
    </dxf>
    <dxf>
      <fill>
        <patternFill>
          <bgColor theme="0" tint="-0.499984740745262"/>
        </patternFill>
      </fill>
    </dxf>
    <dxf>
      <font>
        <b/>
        <i val="0"/>
        <color rgb="FFFFFF00"/>
      </font>
      <fill>
        <patternFill>
          <bgColor rgb="FFFF0000"/>
        </patternFill>
      </fill>
    </dxf>
    <dxf>
      <font>
        <color theme="0" tint="-0.24994659260841701"/>
      </font>
      <fill>
        <patternFill>
          <bgColor theme="0" tint="-0.24994659260841701"/>
        </patternFill>
      </fill>
    </dxf>
    <dxf>
      <font>
        <b/>
        <i val="0"/>
        <color rgb="FFFFFF00"/>
      </font>
      <fill>
        <patternFill>
          <bgColor rgb="FFFF0000"/>
        </patternFill>
      </fill>
    </dxf>
    <dxf>
      <font>
        <color theme="0" tint="-0.24994659260841701"/>
      </font>
      <fill>
        <patternFill>
          <bgColor theme="0" tint="-0.24994659260841701"/>
        </patternFill>
      </fill>
    </dxf>
    <dxf>
      <font>
        <b/>
        <i val="0"/>
        <color rgb="FFC00000"/>
      </font>
      <fill>
        <patternFill>
          <bgColor theme="0" tint="-0.24994659260841701"/>
        </patternFill>
      </fill>
    </dxf>
    <dxf>
      <font>
        <color rgb="FFFFFF00"/>
      </font>
      <fill>
        <patternFill>
          <bgColor rgb="FFFF0000"/>
        </patternFill>
      </fill>
    </dxf>
    <dxf>
      <font>
        <b/>
        <i val="0"/>
        <color rgb="FFC00000"/>
      </font>
      <fill>
        <patternFill>
          <bgColor rgb="FFC00000"/>
        </patternFill>
      </fill>
    </dxf>
    <dxf>
      <font>
        <b/>
        <i val="0"/>
        <condense val="0"/>
        <extend val="0"/>
        <color indexed="21"/>
      </font>
    </dxf>
    <dxf>
      <font>
        <b/>
        <i val="0"/>
        <condense val="0"/>
        <extend val="0"/>
        <color indexed="10"/>
      </font>
    </dxf>
    <dxf>
      <font>
        <b/>
        <i val="0"/>
        <color rgb="FFFFFF00"/>
      </font>
      <fill>
        <patternFill>
          <bgColor rgb="FFFF0000"/>
        </patternFill>
      </fill>
    </dxf>
    <dxf>
      <font>
        <color theme="0" tint="-0.24994659260841701"/>
      </font>
    </dxf>
    <dxf>
      <font>
        <b/>
        <i val="0"/>
        <color theme="0"/>
      </font>
      <fill>
        <patternFill>
          <bgColor theme="0" tint="-0.499984740745262"/>
        </patternFill>
      </fill>
    </dxf>
    <dxf>
      <font>
        <b/>
        <i val="0"/>
        <color theme="0"/>
      </font>
      <fill>
        <patternFill>
          <bgColor theme="0" tint="-0.499984740745262"/>
        </patternFill>
      </fill>
    </dxf>
    <dxf>
      <font>
        <color theme="9" tint="-0.499984740745262"/>
      </font>
    </dxf>
    <dxf>
      <font>
        <b/>
        <i val="0"/>
        <color theme="1"/>
      </font>
      <fill>
        <patternFill>
          <bgColor theme="0"/>
        </patternFill>
      </fill>
    </dxf>
    <dxf>
      <font>
        <b/>
        <i val="0"/>
        <color rgb="FFFFFF00"/>
      </font>
      <fill>
        <patternFill>
          <bgColor rgb="FFC00000"/>
        </patternFill>
      </fill>
    </dxf>
    <dxf>
      <font>
        <b/>
        <i val="0"/>
        <color rgb="FFFFFF00"/>
      </font>
      <fill>
        <patternFill>
          <bgColor rgb="FFC00000"/>
        </patternFill>
      </fill>
    </dxf>
    <dxf>
      <font>
        <b/>
        <i val="0"/>
        <color theme="1" tint="0.24994659260841701"/>
      </font>
      <fill>
        <patternFill>
          <bgColor rgb="FF969696"/>
        </patternFill>
      </fill>
    </dxf>
    <dxf>
      <font>
        <b/>
        <i val="0"/>
        <color rgb="FFFFFF00"/>
      </font>
      <fill>
        <patternFill>
          <bgColor rgb="FFC00000"/>
        </patternFill>
      </fill>
    </dxf>
    <dxf>
      <font>
        <b/>
        <i val="0"/>
        <color rgb="FFC00000"/>
      </font>
      <fill>
        <patternFill>
          <bgColor rgb="FFC00000"/>
        </patternFill>
      </fill>
    </dxf>
    <dxf>
      <font>
        <b/>
        <i val="0"/>
        <color rgb="FFC00000"/>
      </font>
      <fill>
        <patternFill>
          <bgColor rgb="FFC00000"/>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b/>
        <i val="0"/>
        <color theme="0"/>
      </font>
      <fill>
        <patternFill>
          <bgColor theme="0"/>
        </patternFill>
      </fill>
      <border>
        <left/>
        <right/>
        <top/>
        <bottom/>
      </border>
    </dxf>
    <dxf>
      <font>
        <color theme="0"/>
      </font>
      <fill>
        <patternFill>
          <bgColor theme="0"/>
        </patternFill>
      </fill>
      <border>
        <left/>
        <right/>
        <top/>
        <bottom/>
        <vertical/>
        <horizontal/>
      </border>
    </dxf>
    <dxf>
      <font>
        <b/>
        <i val="0"/>
        <color theme="9" tint="-0.499984740745262"/>
      </font>
      <fill>
        <patternFill>
          <bgColor rgb="FFFFFF99"/>
        </patternFill>
      </fill>
    </dxf>
    <dxf>
      <font>
        <b/>
        <i val="0"/>
        <color rgb="FF006666"/>
      </font>
      <fill>
        <patternFill>
          <bgColor theme="6" tint="0.39994506668294322"/>
        </patternFill>
      </fill>
    </dxf>
    <dxf>
      <font>
        <b/>
        <i val="0"/>
        <color rgb="FFFF0000"/>
      </font>
      <fill>
        <patternFill>
          <bgColor rgb="FFFFCCCC"/>
        </patternFill>
      </fill>
    </dxf>
    <dxf>
      <font>
        <b/>
        <i val="0"/>
        <color rgb="FFFFFF00"/>
      </font>
      <fill>
        <patternFill>
          <bgColor rgb="FFFF0000"/>
        </patternFill>
      </fill>
      <border>
        <left style="thin">
          <color auto="1"/>
        </left>
        <right style="thin">
          <color auto="1"/>
        </right>
        <top style="thin">
          <color auto="1"/>
        </top>
        <bottom style="thin">
          <color auto="1"/>
        </bottom>
      </border>
    </dxf>
    <dxf>
      <font>
        <color theme="0"/>
      </font>
      <fill>
        <patternFill>
          <bgColor theme="0"/>
        </patternFill>
      </fill>
      <border>
        <left/>
        <right/>
        <top/>
        <bottom/>
        <vertical/>
        <horizontal/>
      </border>
    </dxf>
    <dxf>
      <fill>
        <patternFill>
          <bgColor rgb="FFFF0000"/>
        </patternFill>
      </fill>
    </dxf>
    <dxf>
      <font>
        <b/>
        <i val="0"/>
        <color rgb="FFFFFF00"/>
      </font>
      <fill>
        <patternFill>
          <bgColor rgb="FFC00000"/>
        </patternFill>
      </fill>
    </dxf>
    <dxf>
      <font>
        <b/>
        <i val="0"/>
        <color rgb="FFC00000"/>
      </font>
      <fill>
        <patternFill>
          <bgColor rgb="FFC00000"/>
        </patternFill>
      </fill>
    </dxf>
    <dxf>
      <font>
        <b/>
        <i val="0"/>
        <color rgb="FFC00000"/>
      </font>
      <fill>
        <patternFill>
          <bgColor rgb="FFC00000"/>
        </patternFill>
      </fill>
    </dxf>
    <dxf>
      <fill>
        <patternFill>
          <bgColor rgb="FFFF0000"/>
        </patternFill>
      </fill>
    </dxf>
    <dxf>
      <fill>
        <patternFill>
          <bgColor theme="0" tint="-0.499984740745262"/>
        </patternFill>
      </fill>
    </dxf>
    <dxf>
      <font>
        <b/>
        <i val="0"/>
        <color rgb="FFFFFF00"/>
      </font>
      <fill>
        <patternFill>
          <bgColor rgb="FFFF0000"/>
        </patternFill>
      </fill>
    </dxf>
    <dxf>
      <font>
        <color theme="0" tint="-0.24994659260841701"/>
      </font>
      <fill>
        <patternFill>
          <bgColor theme="0" tint="-0.24994659260841701"/>
        </patternFill>
      </fill>
    </dxf>
    <dxf>
      <font>
        <b/>
        <i val="0"/>
        <color rgb="FFFFFF00"/>
      </font>
      <fill>
        <patternFill>
          <bgColor rgb="FFFF0000"/>
        </patternFill>
      </fill>
    </dxf>
    <dxf>
      <font>
        <color theme="0" tint="-0.24994659260841701"/>
      </font>
      <fill>
        <patternFill>
          <bgColor theme="0" tint="-0.24994659260841701"/>
        </patternFill>
      </fill>
    </dxf>
    <dxf>
      <font>
        <b/>
        <i val="0"/>
        <color rgb="FFC00000"/>
      </font>
      <fill>
        <patternFill>
          <bgColor theme="0" tint="-0.24994659260841701"/>
        </patternFill>
      </fill>
    </dxf>
    <dxf>
      <font>
        <color rgb="FFFFFF00"/>
      </font>
      <fill>
        <patternFill>
          <bgColor rgb="FFFF0000"/>
        </patternFill>
      </fill>
    </dxf>
    <dxf>
      <font>
        <b/>
        <i val="0"/>
        <color rgb="FFC00000"/>
      </font>
      <fill>
        <patternFill>
          <bgColor rgb="FFC00000"/>
        </patternFill>
      </fill>
    </dxf>
    <dxf>
      <font>
        <b/>
        <i val="0"/>
        <condense val="0"/>
        <extend val="0"/>
        <color indexed="21"/>
      </font>
    </dxf>
    <dxf>
      <font>
        <b/>
        <i val="0"/>
        <condense val="0"/>
        <extend val="0"/>
        <color indexed="10"/>
      </font>
    </dxf>
    <dxf>
      <font>
        <b/>
        <i val="0"/>
        <color rgb="FFFFFF00"/>
      </font>
      <fill>
        <patternFill>
          <bgColor rgb="FFFF0000"/>
        </patternFill>
      </fill>
    </dxf>
    <dxf>
      <font>
        <color theme="0" tint="-0.24994659260841701"/>
      </font>
    </dxf>
    <dxf>
      <font>
        <b/>
        <i val="0"/>
        <color theme="0"/>
      </font>
      <fill>
        <patternFill>
          <bgColor theme="0" tint="-0.499984740745262"/>
        </patternFill>
      </fill>
    </dxf>
    <dxf>
      <font>
        <b/>
        <i val="0"/>
        <color theme="0"/>
      </font>
      <fill>
        <patternFill>
          <bgColor theme="0" tint="-0.499984740745262"/>
        </patternFill>
      </fill>
    </dxf>
    <dxf>
      <font>
        <color theme="9" tint="-0.499984740745262"/>
      </font>
    </dxf>
    <dxf>
      <font>
        <b/>
        <i val="0"/>
        <color theme="1"/>
      </font>
      <fill>
        <patternFill>
          <bgColor theme="0"/>
        </patternFill>
      </fill>
    </dxf>
    <dxf>
      <font>
        <b/>
        <i val="0"/>
        <color rgb="FFFFFF00"/>
      </font>
      <fill>
        <patternFill>
          <bgColor rgb="FFC00000"/>
        </patternFill>
      </fill>
    </dxf>
    <dxf>
      <font>
        <b/>
        <i val="0"/>
        <color rgb="FFFFFF00"/>
      </font>
      <fill>
        <patternFill>
          <bgColor rgb="FFC00000"/>
        </patternFill>
      </fill>
    </dxf>
    <dxf>
      <font>
        <b/>
        <i val="0"/>
        <color theme="1" tint="0.24994659260841701"/>
      </font>
      <fill>
        <patternFill>
          <bgColor rgb="FF969696"/>
        </patternFill>
      </fill>
    </dxf>
    <dxf>
      <font>
        <b/>
        <i val="0"/>
        <color rgb="FFFFFF00"/>
      </font>
      <fill>
        <patternFill>
          <bgColor rgb="FFC00000"/>
        </patternFill>
      </fill>
    </dxf>
    <dxf>
      <font>
        <b/>
        <i val="0"/>
        <color rgb="FFC00000"/>
      </font>
      <fill>
        <patternFill>
          <bgColor rgb="FFC00000"/>
        </patternFill>
      </fill>
    </dxf>
    <dxf>
      <font>
        <b/>
        <i val="0"/>
        <color rgb="FFC00000"/>
      </font>
      <fill>
        <patternFill>
          <bgColor rgb="FFC00000"/>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b/>
        <i val="0"/>
        <color theme="0"/>
      </font>
      <fill>
        <patternFill>
          <bgColor theme="0"/>
        </patternFill>
      </fill>
      <border>
        <left/>
        <right/>
        <top/>
        <bottom/>
      </border>
    </dxf>
    <dxf>
      <font>
        <color theme="0"/>
      </font>
      <fill>
        <patternFill>
          <bgColor theme="0"/>
        </patternFill>
      </fill>
      <border>
        <left/>
        <right/>
        <top/>
        <bottom/>
        <vertical/>
        <horizontal/>
      </border>
    </dxf>
    <dxf>
      <font>
        <b/>
        <i val="0"/>
        <color theme="9" tint="-0.499984740745262"/>
      </font>
      <fill>
        <patternFill>
          <bgColor rgb="FFFFFF99"/>
        </patternFill>
      </fill>
    </dxf>
    <dxf>
      <font>
        <b/>
        <i val="0"/>
        <color rgb="FF006666"/>
      </font>
      <fill>
        <patternFill>
          <bgColor theme="6" tint="0.39994506668294322"/>
        </patternFill>
      </fill>
    </dxf>
    <dxf>
      <font>
        <b/>
        <i val="0"/>
        <color rgb="FFFF0000"/>
      </font>
      <fill>
        <patternFill>
          <bgColor rgb="FFFFCCCC"/>
        </patternFill>
      </fill>
    </dxf>
    <dxf>
      <font>
        <b/>
        <i val="0"/>
        <color rgb="FFFFFF00"/>
      </font>
      <fill>
        <patternFill>
          <bgColor rgb="FFFF0000"/>
        </patternFill>
      </fill>
      <border>
        <left style="thin">
          <color auto="1"/>
        </left>
        <right style="thin">
          <color auto="1"/>
        </right>
        <top style="thin">
          <color auto="1"/>
        </top>
        <bottom style="thin">
          <color auto="1"/>
        </bottom>
      </border>
    </dxf>
    <dxf>
      <font>
        <color theme="0"/>
      </font>
      <fill>
        <patternFill>
          <bgColor theme="0"/>
        </patternFill>
      </fill>
      <border>
        <left/>
        <right/>
        <top/>
        <bottom/>
        <vertical/>
        <horizontal/>
      </border>
    </dxf>
    <dxf>
      <fill>
        <patternFill>
          <bgColor rgb="FFFF0000"/>
        </patternFill>
      </fill>
    </dxf>
    <dxf>
      <font>
        <b/>
        <i val="0"/>
        <color rgb="FFFFFF00"/>
      </font>
      <fill>
        <patternFill>
          <bgColor rgb="FFC00000"/>
        </patternFill>
      </fill>
    </dxf>
    <dxf>
      <font>
        <b/>
        <i val="0"/>
        <color rgb="FFC00000"/>
      </font>
      <fill>
        <patternFill>
          <bgColor rgb="FFC00000"/>
        </patternFill>
      </fill>
    </dxf>
    <dxf>
      <font>
        <b/>
        <i val="0"/>
        <color rgb="FFC00000"/>
      </font>
      <fill>
        <patternFill>
          <bgColor rgb="FFC00000"/>
        </patternFill>
      </fill>
    </dxf>
    <dxf>
      <fill>
        <patternFill>
          <bgColor rgb="FFFF0000"/>
        </patternFill>
      </fill>
    </dxf>
    <dxf>
      <fill>
        <patternFill>
          <bgColor theme="0" tint="-0.499984740745262"/>
        </patternFill>
      </fill>
    </dxf>
    <dxf>
      <font>
        <b/>
        <i val="0"/>
        <color rgb="FFFFFF00"/>
      </font>
      <fill>
        <patternFill>
          <bgColor rgb="FFFF0000"/>
        </patternFill>
      </fill>
    </dxf>
    <dxf>
      <font>
        <color theme="0" tint="-0.24994659260841701"/>
      </font>
      <fill>
        <patternFill>
          <bgColor theme="0" tint="-0.24994659260841701"/>
        </patternFill>
      </fill>
    </dxf>
    <dxf>
      <font>
        <b/>
        <i val="0"/>
        <color rgb="FFFFFF00"/>
      </font>
      <fill>
        <patternFill>
          <bgColor rgb="FFFF0000"/>
        </patternFill>
      </fill>
    </dxf>
    <dxf>
      <font>
        <color theme="0" tint="-0.24994659260841701"/>
      </font>
      <fill>
        <patternFill>
          <bgColor theme="0" tint="-0.24994659260841701"/>
        </patternFill>
      </fill>
    </dxf>
    <dxf>
      <font>
        <b/>
        <i val="0"/>
        <color rgb="FFC00000"/>
      </font>
      <fill>
        <patternFill>
          <bgColor theme="0" tint="-0.24994659260841701"/>
        </patternFill>
      </fill>
    </dxf>
    <dxf>
      <font>
        <color rgb="FFFFFF00"/>
      </font>
      <fill>
        <patternFill>
          <bgColor rgb="FFFF0000"/>
        </patternFill>
      </fill>
    </dxf>
    <dxf>
      <font>
        <b/>
        <i val="0"/>
        <color rgb="FFC00000"/>
      </font>
      <fill>
        <patternFill>
          <bgColor rgb="FFC00000"/>
        </patternFill>
      </fill>
    </dxf>
    <dxf>
      <font>
        <b/>
        <i val="0"/>
        <condense val="0"/>
        <extend val="0"/>
        <color indexed="21"/>
      </font>
    </dxf>
    <dxf>
      <font>
        <b/>
        <i val="0"/>
        <condense val="0"/>
        <extend val="0"/>
        <color indexed="10"/>
      </font>
    </dxf>
    <dxf>
      <font>
        <b/>
        <i val="0"/>
        <color rgb="FFFFFF00"/>
      </font>
      <fill>
        <patternFill>
          <bgColor rgb="FFFF0000"/>
        </patternFill>
      </fill>
    </dxf>
    <dxf>
      <font>
        <color theme="0" tint="-0.24994659260841701"/>
      </font>
    </dxf>
    <dxf>
      <font>
        <b/>
        <i val="0"/>
        <color theme="0"/>
      </font>
      <fill>
        <patternFill>
          <bgColor theme="0" tint="-0.499984740745262"/>
        </patternFill>
      </fill>
    </dxf>
    <dxf>
      <font>
        <b/>
        <i val="0"/>
        <color theme="0"/>
      </font>
      <fill>
        <patternFill>
          <bgColor theme="0" tint="-0.499984740745262"/>
        </patternFill>
      </fill>
    </dxf>
    <dxf>
      <font>
        <color theme="9" tint="-0.499984740745262"/>
      </font>
    </dxf>
    <dxf>
      <font>
        <b/>
        <i val="0"/>
        <color theme="1"/>
      </font>
      <fill>
        <patternFill>
          <bgColor theme="0"/>
        </patternFill>
      </fill>
    </dxf>
    <dxf>
      <font>
        <b/>
        <i val="0"/>
        <color rgb="FFFFFF00"/>
      </font>
      <fill>
        <patternFill>
          <bgColor rgb="FFC00000"/>
        </patternFill>
      </fill>
    </dxf>
    <dxf>
      <font>
        <b/>
        <i val="0"/>
        <color rgb="FFFFFF00"/>
      </font>
      <fill>
        <patternFill>
          <bgColor rgb="FFC00000"/>
        </patternFill>
      </fill>
    </dxf>
    <dxf>
      <font>
        <b/>
        <i val="0"/>
        <color theme="1" tint="0.24994659260841701"/>
      </font>
      <fill>
        <patternFill>
          <bgColor rgb="FF969696"/>
        </patternFill>
      </fill>
    </dxf>
    <dxf>
      <font>
        <b/>
        <i val="0"/>
        <color rgb="FFFFFF00"/>
      </font>
      <fill>
        <patternFill>
          <bgColor rgb="FFC00000"/>
        </patternFill>
      </fill>
    </dxf>
    <dxf>
      <font>
        <b/>
        <i val="0"/>
        <color rgb="FFC00000"/>
      </font>
      <fill>
        <patternFill>
          <bgColor rgb="FFC00000"/>
        </patternFill>
      </fill>
    </dxf>
    <dxf>
      <font>
        <b/>
        <i val="0"/>
        <color rgb="FFC00000"/>
      </font>
      <fill>
        <patternFill>
          <bgColor rgb="FFC00000"/>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b/>
        <i val="0"/>
        <color theme="0"/>
      </font>
      <fill>
        <patternFill>
          <bgColor theme="0"/>
        </patternFill>
      </fill>
      <border>
        <left/>
        <right/>
        <top/>
        <bottom/>
      </border>
    </dxf>
    <dxf>
      <font>
        <color theme="0"/>
      </font>
      <fill>
        <patternFill>
          <bgColor theme="0"/>
        </patternFill>
      </fill>
      <border>
        <left/>
        <right/>
        <top/>
        <bottom/>
        <vertical/>
        <horizontal/>
      </border>
    </dxf>
    <dxf>
      <font>
        <b/>
        <i val="0"/>
        <color theme="9" tint="-0.499984740745262"/>
      </font>
      <fill>
        <patternFill>
          <bgColor rgb="FFFFFF99"/>
        </patternFill>
      </fill>
    </dxf>
    <dxf>
      <font>
        <b/>
        <i val="0"/>
        <color rgb="FF006666"/>
      </font>
      <fill>
        <patternFill>
          <bgColor theme="6" tint="0.39994506668294322"/>
        </patternFill>
      </fill>
    </dxf>
    <dxf>
      <font>
        <b/>
        <i val="0"/>
        <color rgb="FFFF0000"/>
      </font>
      <fill>
        <patternFill>
          <bgColor rgb="FFFFCCCC"/>
        </patternFill>
      </fill>
    </dxf>
    <dxf>
      <font>
        <b/>
        <i val="0"/>
        <color rgb="FFFFFF00"/>
      </font>
      <fill>
        <patternFill>
          <bgColor rgb="FFFF0000"/>
        </patternFill>
      </fill>
      <border>
        <left style="thin">
          <color auto="1"/>
        </left>
        <right style="thin">
          <color auto="1"/>
        </right>
        <top style="thin">
          <color auto="1"/>
        </top>
        <bottom style="thin">
          <color auto="1"/>
        </bottom>
      </border>
    </dxf>
    <dxf>
      <font>
        <color theme="0"/>
      </font>
      <fill>
        <patternFill>
          <bgColor theme="0"/>
        </patternFill>
      </fill>
      <border>
        <left/>
        <right/>
        <top/>
        <bottom/>
        <vertical/>
        <horizontal/>
      </border>
    </dxf>
    <dxf>
      <fill>
        <patternFill>
          <bgColor rgb="FFFF0000"/>
        </patternFill>
      </fill>
    </dxf>
    <dxf>
      <font>
        <b/>
        <i val="0"/>
        <color rgb="FFFFFF00"/>
      </font>
      <fill>
        <patternFill>
          <bgColor rgb="FFC00000"/>
        </patternFill>
      </fill>
    </dxf>
    <dxf>
      <font>
        <b/>
        <i val="0"/>
        <color rgb="FFC00000"/>
      </font>
      <fill>
        <patternFill>
          <bgColor rgb="FFC00000"/>
        </patternFill>
      </fill>
    </dxf>
    <dxf>
      <font>
        <b/>
        <i val="0"/>
        <color rgb="FFC00000"/>
      </font>
      <fill>
        <patternFill>
          <bgColor rgb="FFC00000"/>
        </patternFill>
      </fill>
    </dxf>
    <dxf>
      <fill>
        <patternFill>
          <bgColor rgb="FFFF0000"/>
        </patternFill>
      </fill>
    </dxf>
    <dxf>
      <fill>
        <patternFill>
          <bgColor theme="0" tint="-0.499984740745262"/>
        </patternFill>
      </fill>
    </dxf>
    <dxf>
      <font>
        <b/>
        <i val="0"/>
        <color rgb="FFFFFF00"/>
      </font>
      <fill>
        <patternFill>
          <bgColor rgb="FFFF0000"/>
        </patternFill>
      </fill>
    </dxf>
    <dxf>
      <font>
        <color theme="0" tint="-0.24994659260841701"/>
      </font>
      <fill>
        <patternFill>
          <bgColor theme="0" tint="-0.24994659260841701"/>
        </patternFill>
      </fill>
    </dxf>
    <dxf>
      <font>
        <b/>
        <i val="0"/>
        <color rgb="FFFFFF00"/>
      </font>
      <fill>
        <patternFill>
          <bgColor rgb="FFFF0000"/>
        </patternFill>
      </fill>
    </dxf>
    <dxf>
      <font>
        <color theme="0" tint="-0.24994659260841701"/>
      </font>
      <fill>
        <patternFill>
          <bgColor theme="0" tint="-0.24994659260841701"/>
        </patternFill>
      </fill>
    </dxf>
    <dxf>
      <font>
        <b/>
        <i val="0"/>
        <color rgb="FFC00000"/>
      </font>
      <fill>
        <patternFill>
          <bgColor theme="0" tint="-0.24994659260841701"/>
        </patternFill>
      </fill>
    </dxf>
    <dxf>
      <font>
        <color rgb="FFFFFF00"/>
      </font>
      <fill>
        <patternFill>
          <bgColor rgb="FFFF0000"/>
        </patternFill>
      </fill>
    </dxf>
    <dxf>
      <font>
        <b/>
        <i val="0"/>
        <color rgb="FFC00000"/>
      </font>
      <fill>
        <patternFill>
          <bgColor rgb="FFC00000"/>
        </patternFill>
      </fill>
    </dxf>
    <dxf>
      <font>
        <b/>
        <i val="0"/>
        <condense val="0"/>
        <extend val="0"/>
        <color indexed="21"/>
      </font>
    </dxf>
    <dxf>
      <font>
        <b/>
        <i val="0"/>
        <condense val="0"/>
        <extend val="0"/>
        <color indexed="10"/>
      </font>
    </dxf>
    <dxf>
      <font>
        <b/>
        <i val="0"/>
        <color rgb="FFFFFF00"/>
      </font>
      <fill>
        <patternFill>
          <bgColor rgb="FFFF0000"/>
        </patternFill>
      </fill>
    </dxf>
    <dxf>
      <font>
        <color theme="0" tint="-0.24994659260841701"/>
      </font>
    </dxf>
    <dxf>
      <font>
        <b/>
        <i val="0"/>
        <color theme="0"/>
      </font>
      <fill>
        <patternFill>
          <bgColor theme="0" tint="-0.499984740745262"/>
        </patternFill>
      </fill>
    </dxf>
    <dxf>
      <font>
        <b/>
        <i val="0"/>
        <color theme="0"/>
      </font>
      <fill>
        <patternFill>
          <bgColor theme="0" tint="-0.499984740745262"/>
        </patternFill>
      </fill>
    </dxf>
    <dxf>
      <font>
        <color theme="9" tint="-0.499984740745262"/>
      </font>
    </dxf>
    <dxf>
      <font>
        <b/>
        <i val="0"/>
        <color theme="1"/>
      </font>
      <fill>
        <patternFill>
          <bgColor theme="0"/>
        </patternFill>
      </fill>
    </dxf>
    <dxf>
      <font>
        <b/>
        <i val="0"/>
        <color rgb="FFFFFF00"/>
      </font>
      <fill>
        <patternFill>
          <bgColor rgb="FFC00000"/>
        </patternFill>
      </fill>
    </dxf>
    <dxf>
      <font>
        <b/>
        <i val="0"/>
        <color rgb="FFFFFF00"/>
      </font>
      <fill>
        <patternFill>
          <bgColor rgb="FFC00000"/>
        </patternFill>
      </fill>
    </dxf>
    <dxf>
      <font>
        <b/>
        <i val="0"/>
        <color theme="1" tint="0.24994659260841701"/>
      </font>
      <fill>
        <patternFill>
          <bgColor rgb="FF969696"/>
        </patternFill>
      </fill>
    </dxf>
    <dxf>
      <font>
        <b/>
        <i val="0"/>
        <color rgb="FFFFFF00"/>
      </font>
      <fill>
        <patternFill>
          <bgColor rgb="FFC00000"/>
        </patternFill>
      </fill>
    </dxf>
    <dxf>
      <font>
        <b/>
        <i val="0"/>
        <color rgb="FFC00000"/>
      </font>
      <fill>
        <patternFill>
          <bgColor rgb="FFC00000"/>
        </patternFill>
      </fill>
    </dxf>
    <dxf>
      <font>
        <b/>
        <i val="0"/>
        <color rgb="FFC00000"/>
      </font>
      <fill>
        <patternFill>
          <bgColor rgb="FFC00000"/>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b/>
        <i val="0"/>
        <color theme="0"/>
      </font>
      <fill>
        <patternFill>
          <bgColor theme="0"/>
        </patternFill>
      </fill>
      <border>
        <left/>
        <right/>
        <top/>
        <bottom/>
      </border>
    </dxf>
    <dxf>
      <font>
        <color theme="0"/>
      </font>
      <fill>
        <patternFill>
          <bgColor theme="0"/>
        </patternFill>
      </fill>
      <border>
        <left/>
        <right/>
        <top/>
        <bottom/>
        <vertical/>
        <horizontal/>
      </border>
    </dxf>
    <dxf>
      <font>
        <b/>
        <i val="0"/>
        <color theme="9" tint="-0.499984740745262"/>
      </font>
      <fill>
        <patternFill>
          <bgColor rgb="FFFFFF99"/>
        </patternFill>
      </fill>
    </dxf>
    <dxf>
      <font>
        <b/>
        <i val="0"/>
        <color rgb="FF006666"/>
      </font>
      <fill>
        <patternFill>
          <bgColor theme="6" tint="0.39994506668294322"/>
        </patternFill>
      </fill>
    </dxf>
    <dxf>
      <font>
        <b/>
        <i val="0"/>
        <color rgb="FFFF0000"/>
      </font>
      <fill>
        <patternFill>
          <bgColor rgb="FFFFCCCC"/>
        </patternFill>
      </fill>
    </dxf>
    <dxf>
      <font>
        <b/>
        <i val="0"/>
        <color rgb="FFFFFF00"/>
      </font>
      <fill>
        <patternFill>
          <bgColor rgb="FFFF0000"/>
        </patternFill>
      </fill>
      <border>
        <left style="thin">
          <color auto="1"/>
        </left>
        <right style="thin">
          <color auto="1"/>
        </right>
        <top style="thin">
          <color auto="1"/>
        </top>
        <bottom style="thin">
          <color auto="1"/>
        </bottom>
      </border>
    </dxf>
    <dxf>
      <font>
        <color theme="0"/>
      </font>
      <fill>
        <patternFill>
          <bgColor theme="0"/>
        </patternFill>
      </fill>
      <border>
        <left/>
        <right/>
        <top/>
        <bottom/>
        <vertical/>
        <horizontal/>
      </border>
    </dxf>
    <dxf>
      <fill>
        <patternFill>
          <bgColor rgb="FFFF0000"/>
        </patternFill>
      </fill>
    </dxf>
    <dxf>
      <font>
        <b/>
        <i val="0"/>
        <color rgb="FFFFFF00"/>
      </font>
      <fill>
        <patternFill>
          <bgColor rgb="FFC00000"/>
        </patternFill>
      </fill>
    </dxf>
    <dxf>
      <font>
        <b/>
        <i val="0"/>
        <color rgb="FFC00000"/>
      </font>
      <fill>
        <patternFill>
          <bgColor rgb="FFC00000"/>
        </patternFill>
      </fill>
    </dxf>
    <dxf>
      <font>
        <b/>
        <i val="0"/>
        <color rgb="FFC00000"/>
      </font>
      <fill>
        <patternFill>
          <bgColor rgb="FFC00000"/>
        </patternFill>
      </fill>
    </dxf>
    <dxf>
      <fill>
        <patternFill>
          <bgColor rgb="FFFF0000"/>
        </patternFill>
      </fill>
    </dxf>
    <dxf>
      <fill>
        <patternFill>
          <bgColor theme="0" tint="-0.499984740745262"/>
        </patternFill>
      </fill>
    </dxf>
    <dxf>
      <font>
        <b/>
        <i val="0"/>
        <color rgb="FFFFFF00"/>
      </font>
      <fill>
        <patternFill>
          <bgColor rgb="FFFF0000"/>
        </patternFill>
      </fill>
    </dxf>
    <dxf>
      <font>
        <color theme="0" tint="-0.24994659260841701"/>
      </font>
      <fill>
        <patternFill>
          <bgColor theme="0" tint="-0.24994659260841701"/>
        </patternFill>
      </fill>
    </dxf>
    <dxf>
      <font>
        <b/>
        <i val="0"/>
        <color rgb="FFFFFF00"/>
      </font>
      <fill>
        <patternFill>
          <bgColor rgb="FFFF0000"/>
        </patternFill>
      </fill>
    </dxf>
    <dxf>
      <font>
        <color theme="0" tint="-0.24994659260841701"/>
      </font>
      <fill>
        <patternFill>
          <bgColor theme="0" tint="-0.24994659260841701"/>
        </patternFill>
      </fill>
    </dxf>
    <dxf>
      <font>
        <b/>
        <i val="0"/>
        <color rgb="FFC00000"/>
      </font>
      <fill>
        <patternFill>
          <bgColor theme="0" tint="-0.24994659260841701"/>
        </patternFill>
      </fill>
    </dxf>
    <dxf>
      <font>
        <color rgb="FFFFFF00"/>
      </font>
      <fill>
        <patternFill>
          <bgColor rgb="FFFF0000"/>
        </patternFill>
      </fill>
    </dxf>
    <dxf>
      <font>
        <b/>
        <i val="0"/>
        <color rgb="FFC00000"/>
      </font>
      <fill>
        <patternFill>
          <bgColor rgb="FFC00000"/>
        </patternFill>
      </fill>
    </dxf>
    <dxf>
      <font>
        <b/>
        <i val="0"/>
        <condense val="0"/>
        <extend val="0"/>
        <color indexed="21"/>
      </font>
    </dxf>
    <dxf>
      <font>
        <b/>
        <i val="0"/>
        <condense val="0"/>
        <extend val="0"/>
        <color indexed="10"/>
      </font>
    </dxf>
    <dxf>
      <font>
        <b/>
        <i val="0"/>
        <color rgb="FFFFFF00"/>
      </font>
      <fill>
        <patternFill>
          <bgColor rgb="FFFF0000"/>
        </patternFill>
      </fill>
    </dxf>
    <dxf>
      <font>
        <color theme="0" tint="-0.24994659260841701"/>
      </font>
    </dxf>
    <dxf>
      <font>
        <b/>
        <i val="0"/>
        <color theme="0"/>
      </font>
      <fill>
        <patternFill>
          <bgColor theme="0" tint="-0.499984740745262"/>
        </patternFill>
      </fill>
    </dxf>
    <dxf>
      <font>
        <b/>
        <i val="0"/>
        <color theme="0"/>
      </font>
      <fill>
        <patternFill>
          <bgColor theme="0" tint="-0.499984740745262"/>
        </patternFill>
      </fill>
    </dxf>
    <dxf>
      <font>
        <color theme="9" tint="-0.499984740745262"/>
      </font>
    </dxf>
    <dxf>
      <font>
        <b/>
        <i val="0"/>
        <color theme="1"/>
      </font>
      <fill>
        <patternFill>
          <bgColor theme="0"/>
        </patternFill>
      </fill>
    </dxf>
    <dxf>
      <font>
        <b/>
        <i val="0"/>
        <color rgb="FFFFFF00"/>
      </font>
      <fill>
        <patternFill>
          <bgColor rgb="FFC00000"/>
        </patternFill>
      </fill>
    </dxf>
    <dxf>
      <font>
        <b/>
        <i val="0"/>
        <color rgb="FFFFFF00"/>
      </font>
      <fill>
        <patternFill>
          <bgColor rgb="FFC00000"/>
        </patternFill>
      </fill>
    </dxf>
    <dxf>
      <font>
        <b/>
        <i val="0"/>
        <color theme="1" tint="0.24994659260841701"/>
      </font>
      <fill>
        <patternFill>
          <bgColor rgb="FF969696"/>
        </patternFill>
      </fill>
    </dxf>
    <dxf>
      <font>
        <b/>
        <i val="0"/>
        <color rgb="FFFFFF00"/>
      </font>
      <fill>
        <patternFill>
          <bgColor rgb="FFC00000"/>
        </patternFill>
      </fill>
    </dxf>
    <dxf>
      <font>
        <b/>
        <i val="0"/>
        <color rgb="FFC00000"/>
      </font>
      <fill>
        <patternFill>
          <bgColor rgb="FFC00000"/>
        </patternFill>
      </fill>
    </dxf>
    <dxf>
      <font>
        <b/>
        <i val="0"/>
        <color rgb="FFC00000"/>
      </font>
      <fill>
        <patternFill>
          <bgColor rgb="FFC00000"/>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b/>
        <i val="0"/>
        <color theme="0"/>
      </font>
      <fill>
        <patternFill>
          <bgColor theme="0"/>
        </patternFill>
      </fill>
      <border>
        <left/>
        <right/>
        <top/>
        <bottom/>
      </border>
    </dxf>
    <dxf>
      <font>
        <color theme="0"/>
      </font>
      <fill>
        <patternFill>
          <bgColor theme="0"/>
        </patternFill>
      </fill>
      <border>
        <left/>
        <right/>
        <top/>
        <bottom/>
        <vertical/>
        <horizontal/>
      </border>
    </dxf>
    <dxf>
      <font>
        <b/>
        <i val="0"/>
        <color theme="9" tint="-0.499984740745262"/>
      </font>
      <fill>
        <patternFill>
          <bgColor rgb="FFFFFF99"/>
        </patternFill>
      </fill>
    </dxf>
    <dxf>
      <font>
        <b/>
        <i val="0"/>
        <color rgb="FF006666"/>
      </font>
      <fill>
        <patternFill>
          <bgColor theme="6" tint="0.39994506668294322"/>
        </patternFill>
      </fill>
    </dxf>
    <dxf>
      <font>
        <b/>
        <i val="0"/>
        <color rgb="FFFF0000"/>
      </font>
      <fill>
        <patternFill>
          <bgColor rgb="FFFFCCCC"/>
        </patternFill>
      </fill>
    </dxf>
    <dxf>
      <font>
        <b/>
        <i val="0"/>
        <color rgb="FFFFFF00"/>
      </font>
      <fill>
        <patternFill>
          <bgColor rgb="FFFF0000"/>
        </patternFill>
      </fill>
      <border>
        <left style="thin">
          <color auto="1"/>
        </left>
        <right style="thin">
          <color auto="1"/>
        </right>
        <top style="thin">
          <color auto="1"/>
        </top>
        <bottom style="thin">
          <color auto="1"/>
        </bottom>
      </border>
    </dxf>
    <dxf>
      <font>
        <color theme="0"/>
      </font>
      <fill>
        <patternFill>
          <bgColor theme="0"/>
        </patternFill>
      </fill>
      <border>
        <left/>
        <right/>
        <top/>
        <bottom/>
        <vertical/>
        <horizontal/>
      </border>
    </dxf>
    <dxf>
      <fill>
        <patternFill>
          <bgColor rgb="FFFF0000"/>
        </patternFill>
      </fill>
    </dxf>
    <dxf>
      <font>
        <b/>
        <i val="0"/>
        <color rgb="FFFFFF00"/>
      </font>
      <fill>
        <patternFill>
          <bgColor rgb="FFC00000"/>
        </patternFill>
      </fill>
    </dxf>
    <dxf>
      <font>
        <b/>
        <i val="0"/>
        <color rgb="FFC00000"/>
      </font>
      <fill>
        <patternFill>
          <bgColor rgb="FFC00000"/>
        </patternFill>
      </fill>
    </dxf>
    <dxf>
      <font>
        <b/>
        <i val="0"/>
        <color rgb="FFC00000"/>
      </font>
      <fill>
        <patternFill>
          <bgColor rgb="FFC00000"/>
        </patternFill>
      </fill>
    </dxf>
    <dxf>
      <fill>
        <patternFill>
          <bgColor rgb="FFFF0000"/>
        </patternFill>
      </fill>
    </dxf>
    <dxf>
      <fill>
        <patternFill>
          <bgColor theme="0" tint="-0.499984740745262"/>
        </patternFill>
      </fill>
    </dxf>
    <dxf>
      <font>
        <b/>
        <i val="0"/>
        <color rgb="FFFFFF00"/>
      </font>
      <fill>
        <patternFill>
          <bgColor rgb="FFFF0000"/>
        </patternFill>
      </fill>
    </dxf>
    <dxf>
      <font>
        <color theme="0" tint="-0.24994659260841701"/>
      </font>
      <fill>
        <patternFill>
          <bgColor theme="0" tint="-0.24994659260841701"/>
        </patternFill>
      </fill>
    </dxf>
    <dxf>
      <font>
        <b/>
        <i val="0"/>
        <color rgb="FFFFFF00"/>
      </font>
      <fill>
        <patternFill>
          <bgColor rgb="FFFF0000"/>
        </patternFill>
      </fill>
    </dxf>
    <dxf>
      <font>
        <color theme="0" tint="-0.24994659260841701"/>
      </font>
      <fill>
        <patternFill>
          <bgColor theme="0" tint="-0.24994659260841701"/>
        </patternFill>
      </fill>
    </dxf>
    <dxf>
      <font>
        <b/>
        <i val="0"/>
        <color rgb="FFC00000"/>
      </font>
      <fill>
        <patternFill>
          <bgColor theme="0" tint="-0.24994659260841701"/>
        </patternFill>
      </fill>
    </dxf>
    <dxf>
      <font>
        <color rgb="FFFFFF00"/>
      </font>
      <fill>
        <patternFill>
          <bgColor rgb="FFFF0000"/>
        </patternFill>
      </fill>
    </dxf>
    <dxf>
      <font>
        <b/>
        <i val="0"/>
        <color rgb="FFC00000"/>
      </font>
      <fill>
        <patternFill>
          <bgColor rgb="FFC00000"/>
        </patternFill>
      </fill>
    </dxf>
    <dxf>
      <font>
        <b/>
        <i val="0"/>
        <condense val="0"/>
        <extend val="0"/>
        <color indexed="21"/>
      </font>
    </dxf>
    <dxf>
      <font>
        <b/>
        <i val="0"/>
        <condense val="0"/>
        <extend val="0"/>
        <color indexed="10"/>
      </font>
    </dxf>
    <dxf>
      <font>
        <b/>
        <i val="0"/>
        <color rgb="FFFFFF00"/>
      </font>
      <fill>
        <patternFill>
          <bgColor rgb="FFFF0000"/>
        </patternFill>
      </fill>
    </dxf>
    <dxf>
      <font>
        <color theme="0" tint="-0.24994659260841701"/>
      </font>
    </dxf>
    <dxf>
      <font>
        <b/>
        <i val="0"/>
        <color theme="0"/>
      </font>
      <fill>
        <patternFill>
          <bgColor theme="0" tint="-0.499984740745262"/>
        </patternFill>
      </fill>
    </dxf>
    <dxf>
      <font>
        <b/>
        <i val="0"/>
        <color theme="0"/>
      </font>
      <fill>
        <patternFill>
          <bgColor theme="0" tint="-0.499984740745262"/>
        </patternFill>
      </fill>
    </dxf>
    <dxf>
      <font>
        <color theme="9" tint="-0.499984740745262"/>
      </font>
    </dxf>
    <dxf>
      <font>
        <b/>
        <i val="0"/>
        <color theme="1"/>
      </font>
      <fill>
        <patternFill>
          <bgColor theme="0"/>
        </patternFill>
      </fill>
    </dxf>
    <dxf>
      <font>
        <b/>
        <i val="0"/>
        <color rgb="FFFFFF00"/>
      </font>
      <fill>
        <patternFill>
          <bgColor rgb="FFC00000"/>
        </patternFill>
      </fill>
    </dxf>
    <dxf>
      <font>
        <b/>
        <i val="0"/>
        <color rgb="FFFFFF00"/>
      </font>
      <fill>
        <patternFill>
          <bgColor rgb="FFC00000"/>
        </patternFill>
      </fill>
    </dxf>
    <dxf>
      <font>
        <b/>
        <i val="0"/>
        <color theme="1" tint="0.24994659260841701"/>
      </font>
      <fill>
        <patternFill>
          <bgColor rgb="FF969696"/>
        </patternFill>
      </fill>
    </dxf>
    <dxf>
      <font>
        <b/>
        <i val="0"/>
        <color rgb="FFFFFF00"/>
      </font>
      <fill>
        <patternFill>
          <bgColor rgb="FFC00000"/>
        </patternFill>
      </fill>
    </dxf>
    <dxf>
      <font>
        <b/>
        <i val="0"/>
        <color rgb="FFC00000"/>
      </font>
      <fill>
        <patternFill>
          <bgColor rgb="FFC00000"/>
        </patternFill>
      </fill>
    </dxf>
    <dxf>
      <font>
        <b/>
        <i val="0"/>
        <color rgb="FFC00000"/>
      </font>
      <fill>
        <patternFill>
          <bgColor rgb="FFC00000"/>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b/>
        <i val="0"/>
        <color theme="0"/>
      </font>
      <fill>
        <patternFill>
          <bgColor theme="0"/>
        </patternFill>
      </fill>
      <border>
        <left/>
        <right/>
        <top/>
        <bottom/>
      </border>
    </dxf>
    <dxf>
      <font>
        <color theme="0"/>
      </font>
      <fill>
        <patternFill>
          <bgColor theme="0"/>
        </patternFill>
      </fill>
      <border>
        <left/>
        <right/>
        <top/>
        <bottom/>
        <vertical/>
        <horizontal/>
      </border>
    </dxf>
    <dxf>
      <font>
        <b/>
        <i val="0"/>
        <color theme="9" tint="-0.499984740745262"/>
      </font>
      <fill>
        <patternFill>
          <bgColor rgb="FFFFFF99"/>
        </patternFill>
      </fill>
    </dxf>
    <dxf>
      <font>
        <b/>
        <i val="0"/>
        <color rgb="FF006666"/>
      </font>
      <fill>
        <patternFill>
          <bgColor theme="6" tint="0.39994506668294322"/>
        </patternFill>
      </fill>
    </dxf>
    <dxf>
      <font>
        <b/>
        <i val="0"/>
        <color rgb="FFFF0000"/>
      </font>
      <fill>
        <patternFill>
          <bgColor rgb="FFFFCCCC"/>
        </patternFill>
      </fill>
    </dxf>
    <dxf>
      <font>
        <b/>
        <i val="0"/>
        <color rgb="FFFFFF00"/>
      </font>
      <fill>
        <patternFill>
          <bgColor rgb="FFFF0000"/>
        </patternFill>
      </fill>
      <border>
        <left style="thin">
          <color auto="1"/>
        </left>
        <right style="thin">
          <color auto="1"/>
        </right>
        <top style="thin">
          <color auto="1"/>
        </top>
        <bottom style="thin">
          <color auto="1"/>
        </bottom>
      </border>
    </dxf>
    <dxf>
      <font>
        <color theme="0"/>
      </font>
      <fill>
        <patternFill>
          <bgColor theme="0"/>
        </patternFill>
      </fill>
      <border>
        <left/>
        <right/>
        <top/>
        <bottom/>
        <vertical/>
        <horizontal/>
      </border>
    </dxf>
    <dxf>
      <fill>
        <patternFill>
          <bgColor rgb="FFFF0000"/>
        </patternFill>
      </fill>
    </dxf>
    <dxf>
      <font>
        <b/>
        <i val="0"/>
        <color rgb="FFFFFF00"/>
      </font>
      <fill>
        <patternFill>
          <bgColor rgb="FFC00000"/>
        </patternFill>
      </fill>
    </dxf>
    <dxf>
      <font>
        <b/>
        <i val="0"/>
        <color rgb="FFC00000"/>
      </font>
      <fill>
        <patternFill>
          <bgColor rgb="FFC00000"/>
        </patternFill>
      </fill>
    </dxf>
    <dxf>
      <font>
        <b/>
        <i val="0"/>
        <color rgb="FFC00000"/>
      </font>
      <fill>
        <patternFill>
          <bgColor rgb="FFC00000"/>
        </patternFill>
      </fill>
    </dxf>
    <dxf>
      <fill>
        <patternFill>
          <bgColor rgb="FFFF0000"/>
        </patternFill>
      </fill>
    </dxf>
    <dxf>
      <fill>
        <patternFill>
          <bgColor theme="0" tint="-0.499984740745262"/>
        </patternFill>
      </fill>
    </dxf>
    <dxf>
      <font>
        <b/>
        <i val="0"/>
        <color rgb="FFFFFF00"/>
      </font>
      <fill>
        <patternFill>
          <bgColor rgb="FFFF0000"/>
        </patternFill>
      </fill>
    </dxf>
    <dxf>
      <font>
        <color theme="0" tint="-0.24994659260841701"/>
      </font>
      <fill>
        <patternFill>
          <bgColor theme="0" tint="-0.24994659260841701"/>
        </patternFill>
      </fill>
    </dxf>
    <dxf>
      <font>
        <b/>
        <i val="0"/>
        <color rgb="FFFFFF00"/>
      </font>
      <fill>
        <patternFill>
          <bgColor rgb="FFFF0000"/>
        </patternFill>
      </fill>
    </dxf>
    <dxf>
      <font>
        <color theme="0" tint="-0.24994659260841701"/>
      </font>
      <fill>
        <patternFill>
          <bgColor theme="0" tint="-0.24994659260841701"/>
        </patternFill>
      </fill>
    </dxf>
    <dxf>
      <font>
        <b/>
        <i val="0"/>
        <color rgb="FFC00000"/>
      </font>
      <fill>
        <patternFill>
          <bgColor theme="0" tint="-0.24994659260841701"/>
        </patternFill>
      </fill>
    </dxf>
    <dxf>
      <font>
        <color rgb="FFFFFF00"/>
      </font>
      <fill>
        <patternFill>
          <bgColor rgb="FFFF0000"/>
        </patternFill>
      </fill>
    </dxf>
    <dxf>
      <font>
        <b/>
        <i val="0"/>
        <color rgb="FFC00000"/>
      </font>
      <fill>
        <patternFill>
          <bgColor rgb="FFC00000"/>
        </patternFill>
      </fill>
    </dxf>
    <dxf>
      <font>
        <b/>
        <i val="0"/>
        <condense val="0"/>
        <extend val="0"/>
        <color indexed="21"/>
      </font>
    </dxf>
    <dxf>
      <font>
        <b/>
        <i val="0"/>
        <condense val="0"/>
        <extend val="0"/>
        <color indexed="10"/>
      </font>
    </dxf>
    <dxf>
      <font>
        <b/>
        <i val="0"/>
        <color rgb="FFFFFF00"/>
      </font>
      <fill>
        <patternFill>
          <bgColor rgb="FFFF0000"/>
        </patternFill>
      </fill>
    </dxf>
    <dxf>
      <font>
        <color theme="0" tint="-0.24994659260841701"/>
      </font>
    </dxf>
    <dxf>
      <font>
        <b/>
        <i val="0"/>
        <color theme="0"/>
      </font>
      <fill>
        <patternFill>
          <bgColor theme="0" tint="-0.499984740745262"/>
        </patternFill>
      </fill>
    </dxf>
    <dxf>
      <font>
        <b/>
        <i val="0"/>
        <color theme="0"/>
      </font>
      <fill>
        <patternFill>
          <bgColor theme="0" tint="-0.499984740745262"/>
        </patternFill>
      </fill>
    </dxf>
    <dxf>
      <font>
        <color theme="9" tint="-0.499984740745262"/>
      </font>
    </dxf>
    <dxf>
      <font>
        <b/>
        <i val="0"/>
        <color theme="1"/>
      </font>
      <fill>
        <patternFill>
          <bgColor theme="0"/>
        </patternFill>
      </fill>
    </dxf>
    <dxf>
      <font>
        <b/>
        <i val="0"/>
        <color rgb="FFFFFF00"/>
      </font>
      <fill>
        <patternFill>
          <bgColor rgb="FFC00000"/>
        </patternFill>
      </fill>
    </dxf>
    <dxf>
      <font>
        <b/>
        <i val="0"/>
        <color rgb="FFFFFF00"/>
      </font>
      <fill>
        <patternFill>
          <bgColor rgb="FFC00000"/>
        </patternFill>
      </fill>
    </dxf>
    <dxf>
      <font>
        <b/>
        <i val="0"/>
        <color theme="1" tint="0.24994659260841701"/>
      </font>
      <fill>
        <patternFill>
          <bgColor rgb="FF969696"/>
        </patternFill>
      </fill>
    </dxf>
    <dxf>
      <font>
        <b/>
        <i val="0"/>
        <color rgb="FFFFFF00"/>
      </font>
      <fill>
        <patternFill>
          <bgColor rgb="FFC00000"/>
        </patternFill>
      </fill>
    </dxf>
    <dxf>
      <font>
        <b/>
        <i val="0"/>
        <color rgb="FFC00000"/>
      </font>
      <fill>
        <patternFill>
          <bgColor rgb="FFC00000"/>
        </patternFill>
      </fill>
    </dxf>
    <dxf>
      <font>
        <b/>
        <i val="0"/>
        <color rgb="FFC00000"/>
      </font>
      <fill>
        <patternFill>
          <bgColor rgb="FFC00000"/>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b/>
        <i val="0"/>
        <color theme="0"/>
      </font>
      <fill>
        <patternFill>
          <bgColor theme="0"/>
        </patternFill>
      </fill>
      <border>
        <left/>
        <right/>
        <top/>
        <bottom/>
      </border>
    </dxf>
    <dxf>
      <font>
        <color theme="0"/>
      </font>
      <fill>
        <patternFill>
          <bgColor theme="0"/>
        </patternFill>
      </fill>
      <border>
        <left/>
        <right/>
        <top/>
        <bottom/>
        <vertical/>
        <horizontal/>
      </border>
    </dxf>
    <dxf>
      <font>
        <b/>
        <i val="0"/>
        <color theme="9" tint="-0.499984740745262"/>
      </font>
      <fill>
        <patternFill>
          <bgColor rgb="FFFFFF99"/>
        </patternFill>
      </fill>
    </dxf>
    <dxf>
      <font>
        <b/>
        <i val="0"/>
        <color rgb="FF006666"/>
      </font>
      <fill>
        <patternFill>
          <bgColor theme="6" tint="0.39994506668294322"/>
        </patternFill>
      </fill>
    </dxf>
    <dxf>
      <font>
        <b/>
        <i val="0"/>
        <color rgb="FFFF0000"/>
      </font>
      <fill>
        <patternFill>
          <bgColor rgb="FFFFCCCC"/>
        </patternFill>
      </fill>
    </dxf>
    <dxf>
      <font>
        <b/>
        <i val="0"/>
        <color rgb="FFFFFF00"/>
      </font>
      <fill>
        <patternFill>
          <bgColor rgb="FFFF0000"/>
        </patternFill>
      </fill>
      <border>
        <left style="thin">
          <color auto="1"/>
        </left>
        <right style="thin">
          <color auto="1"/>
        </right>
        <top style="thin">
          <color auto="1"/>
        </top>
        <bottom style="thin">
          <color auto="1"/>
        </bottom>
      </border>
    </dxf>
    <dxf>
      <font>
        <color theme="0"/>
      </font>
      <fill>
        <patternFill>
          <bgColor theme="0"/>
        </patternFill>
      </fill>
      <border>
        <left/>
        <right/>
        <top/>
        <bottom/>
        <vertical/>
        <horizontal/>
      </border>
    </dxf>
    <dxf>
      <fill>
        <patternFill>
          <bgColor rgb="FFFF0000"/>
        </patternFill>
      </fill>
    </dxf>
    <dxf>
      <font>
        <b/>
        <i val="0"/>
        <color rgb="FFFFFF00"/>
      </font>
      <fill>
        <patternFill>
          <bgColor rgb="FFC00000"/>
        </patternFill>
      </fill>
    </dxf>
    <dxf>
      <font>
        <b/>
        <i val="0"/>
        <color rgb="FFC00000"/>
      </font>
      <fill>
        <patternFill>
          <bgColor rgb="FFC00000"/>
        </patternFill>
      </fill>
    </dxf>
    <dxf>
      <font>
        <b/>
        <i val="0"/>
        <color rgb="FFC00000"/>
      </font>
      <fill>
        <patternFill>
          <bgColor rgb="FFC00000"/>
        </patternFill>
      </fill>
    </dxf>
    <dxf>
      <fill>
        <patternFill>
          <bgColor rgb="FFFF0000"/>
        </patternFill>
      </fill>
    </dxf>
    <dxf>
      <fill>
        <patternFill>
          <bgColor theme="0" tint="-0.499984740745262"/>
        </patternFill>
      </fill>
    </dxf>
    <dxf>
      <font>
        <b/>
        <i val="0"/>
        <color rgb="FFFFFF00"/>
      </font>
      <fill>
        <patternFill>
          <bgColor rgb="FFFF0000"/>
        </patternFill>
      </fill>
    </dxf>
    <dxf>
      <font>
        <color theme="0" tint="-0.24994659260841701"/>
      </font>
      <fill>
        <patternFill>
          <bgColor theme="0" tint="-0.24994659260841701"/>
        </patternFill>
      </fill>
    </dxf>
    <dxf>
      <font>
        <b/>
        <i val="0"/>
        <color rgb="FFFFFF00"/>
      </font>
      <fill>
        <patternFill>
          <bgColor rgb="FFFF0000"/>
        </patternFill>
      </fill>
    </dxf>
    <dxf>
      <font>
        <color theme="0" tint="-0.24994659260841701"/>
      </font>
      <fill>
        <patternFill>
          <bgColor theme="0" tint="-0.24994659260841701"/>
        </patternFill>
      </fill>
    </dxf>
    <dxf>
      <font>
        <b/>
        <i val="0"/>
        <color rgb="FFC00000"/>
      </font>
      <fill>
        <patternFill>
          <bgColor theme="0" tint="-0.24994659260841701"/>
        </patternFill>
      </fill>
    </dxf>
    <dxf>
      <font>
        <color rgb="FFFFFF00"/>
      </font>
      <fill>
        <patternFill>
          <bgColor rgb="FFFF0000"/>
        </patternFill>
      </fill>
    </dxf>
    <dxf>
      <font>
        <b/>
        <i val="0"/>
        <color rgb="FFC00000"/>
      </font>
      <fill>
        <patternFill>
          <bgColor rgb="FFC00000"/>
        </patternFill>
      </fill>
    </dxf>
    <dxf>
      <font>
        <b/>
        <i val="0"/>
        <condense val="0"/>
        <extend val="0"/>
        <color indexed="21"/>
      </font>
    </dxf>
    <dxf>
      <font>
        <b/>
        <i val="0"/>
        <condense val="0"/>
        <extend val="0"/>
        <color indexed="10"/>
      </font>
    </dxf>
    <dxf>
      <font>
        <b/>
        <i val="0"/>
        <color rgb="FFFFFF00"/>
      </font>
      <fill>
        <patternFill>
          <bgColor rgb="FFFF0000"/>
        </patternFill>
      </fill>
    </dxf>
    <dxf>
      <font>
        <color theme="0" tint="-0.24994659260841701"/>
      </font>
    </dxf>
    <dxf>
      <font>
        <b/>
        <i val="0"/>
        <color theme="0"/>
      </font>
      <fill>
        <patternFill>
          <bgColor theme="0" tint="-0.499984740745262"/>
        </patternFill>
      </fill>
    </dxf>
    <dxf>
      <font>
        <b/>
        <i val="0"/>
        <color theme="0"/>
      </font>
      <fill>
        <patternFill>
          <bgColor theme="0" tint="-0.499984740745262"/>
        </patternFill>
      </fill>
    </dxf>
    <dxf>
      <font>
        <color theme="9" tint="-0.499984740745262"/>
      </font>
    </dxf>
    <dxf>
      <font>
        <b/>
        <i val="0"/>
        <color theme="1"/>
      </font>
      <fill>
        <patternFill>
          <bgColor theme="0"/>
        </patternFill>
      </fill>
    </dxf>
    <dxf>
      <font>
        <b/>
        <i val="0"/>
        <color rgb="FFFFFF00"/>
      </font>
      <fill>
        <patternFill>
          <bgColor rgb="FFC00000"/>
        </patternFill>
      </fill>
    </dxf>
    <dxf>
      <font>
        <b/>
        <i val="0"/>
        <color rgb="FFFFFF00"/>
      </font>
      <fill>
        <patternFill>
          <bgColor rgb="FFC00000"/>
        </patternFill>
      </fill>
    </dxf>
    <dxf>
      <font>
        <b/>
        <i val="0"/>
        <color theme="1" tint="0.24994659260841701"/>
      </font>
      <fill>
        <patternFill>
          <bgColor rgb="FF969696"/>
        </patternFill>
      </fill>
    </dxf>
    <dxf>
      <font>
        <b/>
        <i val="0"/>
        <color rgb="FFFFFF00"/>
      </font>
      <fill>
        <patternFill>
          <bgColor rgb="FFC00000"/>
        </patternFill>
      </fill>
    </dxf>
    <dxf>
      <font>
        <b/>
        <i val="0"/>
        <color rgb="FFC00000"/>
      </font>
      <fill>
        <patternFill>
          <bgColor rgb="FFC00000"/>
        </patternFill>
      </fill>
    </dxf>
    <dxf>
      <font>
        <b/>
        <i val="0"/>
        <color rgb="FFC00000"/>
      </font>
      <fill>
        <patternFill>
          <bgColor rgb="FFC00000"/>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b/>
        <i val="0"/>
        <color theme="0"/>
      </font>
      <fill>
        <patternFill>
          <bgColor theme="0"/>
        </patternFill>
      </fill>
      <border>
        <left/>
        <right/>
        <top/>
        <bottom/>
      </border>
    </dxf>
    <dxf>
      <font>
        <color theme="0"/>
      </font>
      <fill>
        <patternFill>
          <bgColor theme="0"/>
        </patternFill>
      </fill>
      <border>
        <left/>
        <right/>
        <top/>
        <bottom/>
        <vertical/>
        <horizontal/>
      </border>
    </dxf>
    <dxf>
      <font>
        <b/>
        <i val="0"/>
        <color theme="9" tint="-0.499984740745262"/>
      </font>
      <fill>
        <patternFill>
          <bgColor rgb="FFFFFF99"/>
        </patternFill>
      </fill>
    </dxf>
    <dxf>
      <font>
        <b/>
        <i val="0"/>
        <color rgb="FF006666"/>
      </font>
      <fill>
        <patternFill>
          <bgColor theme="6" tint="0.39994506668294322"/>
        </patternFill>
      </fill>
    </dxf>
    <dxf>
      <font>
        <b/>
        <i val="0"/>
        <color rgb="FFFF0000"/>
      </font>
      <fill>
        <patternFill>
          <bgColor rgb="FFFFCCCC"/>
        </patternFill>
      </fill>
    </dxf>
    <dxf>
      <font>
        <b/>
        <i val="0"/>
        <color rgb="FFFFFF00"/>
      </font>
      <fill>
        <patternFill>
          <bgColor rgb="FFFF0000"/>
        </patternFill>
      </fill>
      <border>
        <left style="thin">
          <color auto="1"/>
        </left>
        <right style="thin">
          <color auto="1"/>
        </right>
        <top style="thin">
          <color auto="1"/>
        </top>
        <bottom style="thin">
          <color auto="1"/>
        </bottom>
      </border>
    </dxf>
    <dxf>
      <font>
        <color theme="0"/>
      </font>
      <fill>
        <patternFill>
          <bgColor theme="0"/>
        </patternFill>
      </fill>
      <border>
        <left/>
        <right/>
        <top/>
        <bottom/>
        <vertical/>
        <horizontal/>
      </border>
    </dxf>
    <dxf>
      <fill>
        <patternFill>
          <bgColor rgb="FFFF0000"/>
        </patternFill>
      </fill>
    </dxf>
    <dxf>
      <font>
        <b/>
        <i val="0"/>
        <color rgb="FFFFFF00"/>
      </font>
      <fill>
        <patternFill>
          <bgColor rgb="FFC00000"/>
        </patternFill>
      </fill>
    </dxf>
    <dxf>
      <font>
        <b/>
        <i val="0"/>
        <color rgb="FFC00000"/>
      </font>
      <fill>
        <patternFill>
          <bgColor rgb="FFC00000"/>
        </patternFill>
      </fill>
    </dxf>
    <dxf>
      <font>
        <b/>
        <i val="0"/>
        <color rgb="FFC00000"/>
      </font>
      <fill>
        <patternFill>
          <bgColor rgb="FFC00000"/>
        </patternFill>
      </fill>
    </dxf>
    <dxf>
      <fill>
        <patternFill>
          <bgColor rgb="FFFF0000"/>
        </patternFill>
      </fill>
    </dxf>
    <dxf>
      <fill>
        <patternFill>
          <bgColor theme="0" tint="-0.499984740745262"/>
        </patternFill>
      </fill>
    </dxf>
    <dxf>
      <font>
        <b/>
        <i val="0"/>
        <color rgb="FFFFFF00"/>
      </font>
      <fill>
        <patternFill>
          <bgColor rgb="FFFF0000"/>
        </patternFill>
      </fill>
    </dxf>
    <dxf>
      <font>
        <color theme="0" tint="-0.24994659260841701"/>
      </font>
      <fill>
        <patternFill>
          <bgColor theme="0" tint="-0.24994659260841701"/>
        </patternFill>
      </fill>
    </dxf>
    <dxf>
      <font>
        <b/>
        <i val="0"/>
        <color rgb="FFFFFF00"/>
      </font>
      <fill>
        <patternFill>
          <bgColor rgb="FFFF0000"/>
        </patternFill>
      </fill>
    </dxf>
    <dxf>
      <font>
        <color theme="0" tint="-0.24994659260841701"/>
      </font>
      <fill>
        <patternFill>
          <bgColor theme="0" tint="-0.24994659260841701"/>
        </patternFill>
      </fill>
    </dxf>
    <dxf>
      <font>
        <b/>
        <i val="0"/>
        <color rgb="FFC00000"/>
      </font>
      <fill>
        <patternFill>
          <bgColor theme="0" tint="-0.24994659260841701"/>
        </patternFill>
      </fill>
    </dxf>
    <dxf>
      <font>
        <color rgb="FFFFFF00"/>
      </font>
      <fill>
        <patternFill>
          <bgColor rgb="FFFF0000"/>
        </patternFill>
      </fill>
    </dxf>
    <dxf>
      <font>
        <b/>
        <i val="0"/>
        <color rgb="FFC00000"/>
      </font>
      <fill>
        <patternFill>
          <bgColor rgb="FFC00000"/>
        </patternFill>
      </fill>
    </dxf>
    <dxf>
      <font>
        <b/>
        <i val="0"/>
        <condense val="0"/>
        <extend val="0"/>
        <color indexed="10"/>
      </font>
    </dxf>
    <dxf>
      <font>
        <b/>
        <i val="0"/>
        <condense val="0"/>
        <extend val="0"/>
        <color indexed="21"/>
      </font>
    </dxf>
    <dxf>
      <font>
        <b/>
        <i val="0"/>
        <color rgb="FFFFFF00"/>
      </font>
      <fill>
        <patternFill>
          <bgColor rgb="FFFF0000"/>
        </patternFill>
      </fill>
    </dxf>
    <dxf>
      <font>
        <color theme="0" tint="-0.24994659260841701"/>
      </font>
    </dxf>
    <dxf>
      <font>
        <b/>
        <i val="0"/>
        <color theme="0" tint="-0.24994659260841701"/>
      </font>
      <fill>
        <patternFill>
          <bgColor theme="0" tint="-0.499984740745262"/>
        </patternFill>
      </fill>
    </dxf>
    <dxf>
      <font>
        <b/>
        <i val="0"/>
        <color theme="0"/>
      </font>
      <fill>
        <patternFill>
          <bgColor theme="0" tint="-0.499984740745262"/>
        </patternFill>
      </fill>
    </dxf>
    <dxf>
      <font>
        <color theme="9" tint="-0.499984740745262"/>
      </font>
    </dxf>
    <dxf>
      <font>
        <b/>
        <i val="0"/>
        <color theme="1"/>
      </font>
      <fill>
        <patternFill>
          <bgColor theme="0"/>
        </patternFill>
      </fill>
    </dxf>
    <dxf>
      <font>
        <b/>
        <i val="0"/>
        <color rgb="FFFFFF00"/>
      </font>
      <fill>
        <patternFill>
          <bgColor rgb="FFC00000"/>
        </patternFill>
      </fill>
    </dxf>
    <dxf>
      <font>
        <b/>
        <i val="0"/>
        <color rgb="FFFFFF00"/>
      </font>
      <fill>
        <patternFill>
          <bgColor rgb="FFC00000"/>
        </patternFill>
      </fill>
    </dxf>
    <dxf>
      <font>
        <b/>
        <i val="0"/>
        <color theme="1" tint="0.24994659260841701"/>
      </font>
      <fill>
        <patternFill>
          <bgColor rgb="FF969696"/>
        </patternFill>
      </fill>
    </dxf>
    <dxf>
      <font>
        <b/>
        <i val="0"/>
        <color rgb="FFFFFF00"/>
      </font>
      <fill>
        <patternFill>
          <bgColor rgb="FFC00000"/>
        </patternFill>
      </fill>
    </dxf>
    <dxf>
      <font>
        <b/>
        <i val="0"/>
        <color rgb="FFC00000"/>
      </font>
      <fill>
        <patternFill>
          <bgColor rgb="FFC00000"/>
        </patternFill>
      </fill>
    </dxf>
    <dxf>
      <font>
        <b/>
        <i val="0"/>
        <color rgb="FFC00000"/>
      </font>
      <fill>
        <patternFill>
          <bgColor rgb="FFC00000"/>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b/>
        <i val="0"/>
        <color theme="0"/>
      </font>
      <fill>
        <patternFill>
          <bgColor theme="0"/>
        </patternFill>
      </fill>
      <border>
        <left/>
        <right/>
        <top/>
        <bottom/>
      </border>
    </dxf>
    <dxf>
      <font>
        <color theme="0"/>
      </font>
      <fill>
        <patternFill>
          <bgColor theme="0"/>
        </patternFill>
      </fill>
      <border>
        <left/>
        <right/>
        <top/>
        <bottom/>
        <vertical/>
        <horizontal/>
      </border>
    </dxf>
    <dxf>
      <font>
        <b/>
        <i val="0"/>
        <color theme="9" tint="-0.499984740745262"/>
      </font>
      <fill>
        <patternFill>
          <bgColor rgb="FFFFFF99"/>
        </patternFill>
      </fill>
    </dxf>
    <dxf>
      <font>
        <b/>
        <i val="0"/>
        <color rgb="FF006666"/>
      </font>
      <fill>
        <patternFill>
          <bgColor theme="6" tint="0.39994506668294322"/>
        </patternFill>
      </fill>
    </dxf>
    <dxf>
      <font>
        <b/>
        <i val="0"/>
        <color rgb="FFFF0000"/>
      </font>
      <fill>
        <patternFill>
          <bgColor rgb="FFFFCCCC"/>
        </patternFill>
      </fill>
    </dxf>
    <dxf>
      <font>
        <b/>
        <i val="0"/>
        <color rgb="FFFFFF00"/>
      </font>
      <fill>
        <patternFill>
          <bgColor rgb="FFFF0000"/>
        </patternFill>
      </fill>
      <border>
        <left style="thin">
          <color auto="1"/>
        </left>
        <right style="thin">
          <color auto="1"/>
        </right>
        <top style="thin">
          <color auto="1"/>
        </top>
        <bottom style="thin">
          <color auto="1"/>
        </bottom>
      </border>
    </dxf>
    <dxf>
      <font>
        <color theme="0"/>
      </font>
      <fill>
        <patternFill>
          <bgColor theme="0"/>
        </patternFill>
      </fill>
      <border>
        <left/>
        <right/>
        <top/>
        <bottom/>
        <vertical/>
        <horizontal/>
      </border>
    </dxf>
    <dxf>
      <fill>
        <patternFill>
          <bgColor rgb="FFFF0000"/>
        </patternFill>
      </fill>
    </dxf>
    <dxf>
      <font>
        <b/>
        <i val="0"/>
        <color rgb="FFFFFF00"/>
      </font>
      <fill>
        <patternFill>
          <bgColor rgb="FFC00000"/>
        </patternFill>
      </fill>
    </dxf>
    <dxf>
      <font>
        <b/>
        <i val="0"/>
        <color rgb="FFC00000"/>
      </font>
      <fill>
        <patternFill>
          <bgColor rgb="FFC00000"/>
        </patternFill>
      </fill>
    </dxf>
    <dxf>
      <font>
        <b/>
        <i val="0"/>
        <color rgb="FFC00000"/>
      </font>
      <fill>
        <patternFill>
          <bgColor rgb="FFC00000"/>
        </patternFill>
      </fill>
    </dxf>
    <dxf>
      <fill>
        <patternFill>
          <bgColor rgb="FFFF0000"/>
        </patternFill>
      </fill>
    </dxf>
    <dxf>
      <fill>
        <patternFill>
          <bgColor theme="0" tint="-0.499984740745262"/>
        </patternFill>
      </fill>
    </dxf>
    <dxf>
      <font>
        <b/>
        <i val="0"/>
        <color rgb="FFFFFF00"/>
      </font>
      <fill>
        <patternFill>
          <bgColor rgb="FFFF0000"/>
        </patternFill>
      </fill>
    </dxf>
    <dxf>
      <font>
        <color theme="0" tint="-0.24994659260841701"/>
      </font>
      <fill>
        <patternFill>
          <bgColor theme="0" tint="-0.24994659260841701"/>
        </patternFill>
      </fill>
    </dxf>
    <dxf>
      <font>
        <b/>
        <i val="0"/>
        <color rgb="FFFFFF00"/>
      </font>
      <fill>
        <patternFill>
          <bgColor rgb="FFFF0000"/>
        </patternFill>
      </fill>
    </dxf>
    <dxf>
      <font>
        <color theme="0" tint="-0.24994659260841701"/>
      </font>
      <fill>
        <patternFill>
          <bgColor theme="0" tint="-0.24994659260841701"/>
        </patternFill>
      </fill>
    </dxf>
    <dxf>
      <font>
        <b/>
        <i val="0"/>
        <color rgb="FFC00000"/>
      </font>
      <fill>
        <patternFill>
          <bgColor theme="0" tint="-0.24994659260841701"/>
        </patternFill>
      </fill>
    </dxf>
    <dxf>
      <font>
        <color rgb="FFFFFF00"/>
      </font>
      <fill>
        <patternFill>
          <bgColor rgb="FFFF0000"/>
        </patternFill>
      </fill>
    </dxf>
    <dxf>
      <font>
        <b/>
        <i val="0"/>
        <color rgb="FFC00000"/>
      </font>
      <fill>
        <patternFill>
          <bgColor rgb="FFC00000"/>
        </patternFill>
      </fill>
    </dxf>
    <dxf>
      <font>
        <b/>
        <i val="0"/>
        <condense val="0"/>
        <extend val="0"/>
        <color indexed="21"/>
      </font>
    </dxf>
    <dxf>
      <font>
        <b/>
        <i val="0"/>
        <condense val="0"/>
        <extend val="0"/>
        <color indexed="10"/>
      </font>
    </dxf>
    <dxf>
      <font>
        <b/>
        <i val="0"/>
        <color rgb="FFFFFF00"/>
      </font>
      <fill>
        <patternFill>
          <bgColor rgb="FFFF0000"/>
        </patternFill>
      </fill>
    </dxf>
    <dxf>
      <font>
        <color theme="0" tint="-0.24994659260841701"/>
      </font>
    </dxf>
    <dxf>
      <font>
        <b/>
        <i val="0"/>
        <color theme="0"/>
      </font>
      <fill>
        <patternFill>
          <bgColor theme="0" tint="-0.499984740745262"/>
        </patternFill>
      </fill>
    </dxf>
    <dxf>
      <font>
        <b/>
        <i val="0"/>
        <color theme="0"/>
      </font>
      <fill>
        <patternFill>
          <bgColor theme="0" tint="-0.499984740745262"/>
        </patternFill>
      </fill>
    </dxf>
    <dxf>
      <font>
        <color theme="9" tint="-0.499984740745262"/>
      </font>
    </dxf>
    <dxf>
      <font>
        <b/>
        <i val="0"/>
        <color theme="1"/>
      </font>
      <fill>
        <patternFill>
          <bgColor theme="0"/>
        </patternFill>
      </fill>
    </dxf>
    <dxf>
      <font>
        <b/>
        <i val="0"/>
        <color rgb="FFFFFF00"/>
      </font>
      <fill>
        <patternFill>
          <bgColor rgb="FFC00000"/>
        </patternFill>
      </fill>
    </dxf>
    <dxf>
      <font>
        <b/>
        <i val="0"/>
        <color rgb="FFFFFF00"/>
      </font>
      <fill>
        <patternFill>
          <bgColor rgb="FFC00000"/>
        </patternFill>
      </fill>
    </dxf>
    <dxf>
      <font>
        <b/>
        <i val="0"/>
        <color theme="1" tint="0.24994659260841701"/>
      </font>
      <fill>
        <patternFill>
          <bgColor rgb="FF969696"/>
        </patternFill>
      </fill>
    </dxf>
    <dxf>
      <font>
        <b/>
        <i val="0"/>
        <color rgb="FFFFFF00"/>
      </font>
      <fill>
        <patternFill>
          <bgColor rgb="FFC00000"/>
        </patternFill>
      </fill>
    </dxf>
    <dxf>
      <font>
        <b/>
        <i val="0"/>
        <color rgb="FFC00000"/>
      </font>
      <fill>
        <patternFill>
          <bgColor rgb="FFC00000"/>
        </patternFill>
      </fill>
    </dxf>
    <dxf>
      <font>
        <b/>
        <i val="0"/>
        <color rgb="FFC00000"/>
      </font>
      <fill>
        <patternFill>
          <bgColor rgb="FFC00000"/>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b/>
        <i val="0"/>
        <color theme="0"/>
      </font>
      <fill>
        <patternFill>
          <bgColor theme="0"/>
        </patternFill>
      </fill>
      <border>
        <left/>
        <right/>
        <top/>
        <bottom/>
      </border>
    </dxf>
    <dxf>
      <font>
        <color theme="0"/>
      </font>
      <fill>
        <patternFill>
          <bgColor theme="0"/>
        </patternFill>
      </fill>
      <border>
        <left/>
        <right/>
        <top/>
        <bottom/>
        <vertical/>
        <horizontal/>
      </border>
    </dxf>
    <dxf>
      <font>
        <b/>
        <i val="0"/>
        <color theme="9" tint="-0.499984740745262"/>
      </font>
      <fill>
        <patternFill>
          <bgColor rgb="FFFFFF99"/>
        </patternFill>
      </fill>
    </dxf>
    <dxf>
      <font>
        <b/>
        <i val="0"/>
        <color rgb="FF006666"/>
      </font>
      <fill>
        <patternFill>
          <bgColor theme="6" tint="0.39994506668294322"/>
        </patternFill>
      </fill>
    </dxf>
    <dxf>
      <font>
        <b/>
        <i val="0"/>
        <color rgb="FFFF0000"/>
      </font>
      <fill>
        <patternFill>
          <bgColor rgb="FFFFCCCC"/>
        </patternFill>
      </fill>
    </dxf>
    <dxf>
      <font>
        <b/>
        <i val="0"/>
        <color rgb="FFFFFF00"/>
      </font>
      <fill>
        <patternFill>
          <bgColor rgb="FFFF0000"/>
        </patternFill>
      </fill>
      <border>
        <left style="thin">
          <color auto="1"/>
        </left>
        <right style="thin">
          <color auto="1"/>
        </right>
        <top style="thin">
          <color auto="1"/>
        </top>
        <bottom style="thin">
          <color auto="1"/>
        </bottom>
      </border>
    </dxf>
    <dxf>
      <font>
        <color theme="0"/>
      </font>
      <fill>
        <patternFill>
          <bgColor theme="0"/>
        </patternFill>
      </fill>
      <border>
        <left/>
        <right/>
        <top/>
        <bottom/>
        <vertical/>
        <horizontal/>
      </border>
    </dxf>
    <dxf>
      <fill>
        <patternFill>
          <bgColor rgb="FFFF0000"/>
        </patternFill>
      </fill>
    </dxf>
    <dxf>
      <font>
        <b/>
        <i val="0"/>
        <color rgb="FFFFFF00"/>
      </font>
      <fill>
        <patternFill>
          <bgColor rgb="FFC00000"/>
        </patternFill>
      </fill>
    </dxf>
    <dxf>
      <font>
        <b/>
        <i val="0"/>
        <color rgb="FFC00000"/>
      </font>
      <fill>
        <patternFill>
          <bgColor rgb="FFC00000"/>
        </patternFill>
      </fill>
    </dxf>
    <dxf>
      <font>
        <b/>
        <i val="0"/>
        <color rgb="FFC00000"/>
      </font>
      <fill>
        <patternFill>
          <bgColor rgb="FFC00000"/>
        </patternFill>
      </fill>
    </dxf>
    <dxf>
      <fill>
        <patternFill>
          <bgColor rgb="FFFF0000"/>
        </patternFill>
      </fill>
    </dxf>
    <dxf>
      <fill>
        <patternFill>
          <bgColor theme="0" tint="-0.499984740745262"/>
        </patternFill>
      </fill>
    </dxf>
    <dxf>
      <font>
        <b/>
        <i val="0"/>
        <color rgb="FFFFFF00"/>
      </font>
      <fill>
        <patternFill>
          <bgColor rgb="FFFF0000"/>
        </patternFill>
      </fill>
    </dxf>
    <dxf>
      <font>
        <color theme="0" tint="-0.24994659260841701"/>
      </font>
      <fill>
        <patternFill>
          <bgColor theme="0" tint="-0.24994659260841701"/>
        </patternFill>
      </fill>
    </dxf>
    <dxf>
      <font>
        <b/>
        <i val="0"/>
        <color rgb="FFFFFF00"/>
      </font>
      <fill>
        <patternFill>
          <bgColor rgb="FFFF0000"/>
        </patternFill>
      </fill>
    </dxf>
    <dxf>
      <font>
        <color theme="0" tint="-0.24994659260841701"/>
      </font>
      <fill>
        <patternFill>
          <bgColor theme="0" tint="-0.24994659260841701"/>
        </patternFill>
      </fill>
    </dxf>
    <dxf>
      <font>
        <b/>
        <i val="0"/>
        <color rgb="FFC00000"/>
      </font>
      <fill>
        <patternFill>
          <bgColor theme="0" tint="-0.24994659260841701"/>
        </patternFill>
      </fill>
    </dxf>
    <dxf>
      <font>
        <color rgb="FFFFFF00"/>
      </font>
      <fill>
        <patternFill>
          <bgColor rgb="FFFF0000"/>
        </patternFill>
      </fill>
    </dxf>
    <dxf>
      <font>
        <b/>
        <i val="0"/>
        <color rgb="FFC00000"/>
      </font>
      <fill>
        <patternFill>
          <bgColor rgb="FFC00000"/>
        </patternFill>
      </fill>
    </dxf>
    <dxf>
      <font>
        <b/>
        <i val="0"/>
        <condense val="0"/>
        <extend val="0"/>
        <color indexed="21"/>
      </font>
    </dxf>
    <dxf>
      <font>
        <b/>
        <i val="0"/>
        <condense val="0"/>
        <extend val="0"/>
        <color indexed="10"/>
      </font>
    </dxf>
    <dxf>
      <font>
        <b/>
        <i val="0"/>
        <color rgb="FFFFFF00"/>
      </font>
      <fill>
        <patternFill>
          <bgColor rgb="FFFF0000"/>
        </patternFill>
      </fill>
    </dxf>
    <dxf>
      <font>
        <color theme="0" tint="-0.24994659260841701"/>
      </font>
    </dxf>
    <dxf>
      <font>
        <b/>
        <i val="0"/>
        <color theme="0"/>
      </font>
      <fill>
        <patternFill>
          <bgColor theme="0" tint="-0.499984740745262"/>
        </patternFill>
      </fill>
    </dxf>
    <dxf>
      <font>
        <b/>
        <i val="0"/>
        <color theme="0"/>
      </font>
      <fill>
        <patternFill>
          <bgColor theme="0" tint="-0.499984740745262"/>
        </patternFill>
      </fill>
    </dxf>
    <dxf>
      <font>
        <color theme="9" tint="-0.499984740745262"/>
      </font>
    </dxf>
    <dxf>
      <font>
        <b/>
        <i val="0"/>
        <color theme="1"/>
      </font>
      <fill>
        <patternFill>
          <bgColor theme="0"/>
        </patternFill>
      </fill>
    </dxf>
    <dxf>
      <font>
        <b/>
        <i val="0"/>
        <color rgb="FFFFFF00"/>
      </font>
      <fill>
        <patternFill>
          <bgColor rgb="FFC00000"/>
        </patternFill>
      </fill>
    </dxf>
    <dxf>
      <font>
        <b/>
        <i val="0"/>
        <color rgb="FFFFFF00"/>
      </font>
      <fill>
        <patternFill>
          <bgColor rgb="FFC00000"/>
        </patternFill>
      </fill>
    </dxf>
    <dxf>
      <font>
        <b/>
        <i val="0"/>
        <color theme="1" tint="0.24994659260841701"/>
      </font>
      <fill>
        <patternFill>
          <bgColor rgb="FF969696"/>
        </patternFill>
      </fill>
    </dxf>
    <dxf>
      <font>
        <b/>
        <i val="0"/>
        <color rgb="FFFFFF00"/>
      </font>
      <fill>
        <patternFill>
          <bgColor rgb="FFC00000"/>
        </patternFill>
      </fill>
    </dxf>
    <dxf>
      <font>
        <b/>
        <i val="0"/>
        <color rgb="FFC00000"/>
      </font>
      <fill>
        <patternFill>
          <bgColor rgb="FFC00000"/>
        </patternFill>
      </fill>
    </dxf>
    <dxf>
      <font>
        <b/>
        <i val="0"/>
        <color rgb="FFC00000"/>
      </font>
      <fill>
        <patternFill>
          <bgColor rgb="FFC00000"/>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b/>
        <i val="0"/>
        <color theme="0"/>
      </font>
      <fill>
        <patternFill>
          <bgColor theme="0"/>
        </patternFill>
      </fill>
      <border>
        <left/>
        <right/>
        <top/>
        <bottom/>
      </border>
    </dxf>
    <dxf>
      <font>
        <color theme="0"/>
      </font>
      <fill>
        <patternFill>
          <bgColor theme="0"/>
        </patternFill>
      </fill>
      <border>
        <left/>
        <right/>
        <top/>
        <bottom/>
        <vertical/>
        <horizontal/>
      </border>
    </dxf>
    <dxf>
      <font>
        <b/>
        <i val="0"/>
        <color theme="9" tint="-0.499984740745262"/>
      </font>
      <fill>
        <patternFill>
          <bgColor rgb="FFFFFF99"/>
        </patternFill>
      </fill>
    </dxf>
    <dxf>
      <font>
        <b/>
        <i val="0"/>
        <color rgb="FF006666"/>
      </font>
      <fill>
        <patternFill>
          <bgColor theme="6" tint="0.39994506668294322"/>
        </patternFill>
      </fill>
    </dxf>
    <dxf>
      <font>
        <b/>
        <i val="0"/>
        <color rgb="FFFF0000"/>
      </font>
      <fill>
        <patternFill>
          <bgColor rgb="FFFFCCCC"/>
        </patternFill>
      </fill>
    </dxf>
    <dxf>
      <font>
        <b/>
        <i val="0"/>
        <color rgb="FFFFFF00"/>
      </font>
      <fill>
        <patternFill>
          <bgColor rgb="FFFF0000"/>
        </patternFill>
      </fill>
      <border>
        <left style="thin">
          <color auto="1"/>
        </left>
        <right style="thin">
          <color auto="1"/>
        </right>
        <top style="thin">
          <color auto="1"/>
        </top>
        <bottom style="thin">
          <color auto="1"/>
        </bottom>
      </border>
    </dxf>
    <dxf>
      <font>
        <color theme="0"/>
      </font>
      <fill>
        <patternFill>
          <bgColor theme="0"/>
        </patternFill>
      </fill>
      <border>
        <left/>
        <right/>
        <top/>
        <bottom/>
        <vertical/>
        <horizontal/>
      </border>
    </dxf>
    <dxf>
      <fill>
        <patternFill>
          <bgColor rgb="FFFF0000"/>
        </patternFill>
      </fill>
    </dxf>
    <dxf>
      <font>
        <b/>
        <i val="0"/>
        <color rgb="FFFFFF00"/>
      </font>
      <fill>
        <patternFill>
          <bgColor rgb="FFC00000"/>
        </patternFill>
      </fill>
    </dxf>
    <dxf>
      <font>
        <b/>
        <i val="0"/>
        <color rgb="FFC00000"/>
      </font>
      <fill>
        <patternFill>
          <bgColor rgb="FFC00000"/>
        </patternFill>
      </fill>
    </dxf>
    <dxf>
      <font>
        <b/>
        <i val="0"/>
        <color rgb="FFC00000"/>
      </font>
      <fill>
        <patternFill>
          <bgColor rgb="FFC00000"/>
        </patternFill>
      </fill>
    </dxf>
    <dxf>
      <fill>
        <patternFill>
          <bgColor rgb="FFFF0000"/>
        </patternFill>
      </fill>
    </dxf>
    <dxf>
      <fill>
        <patternFill>
          <bgColor theme="0" tint="-0.499984740745262"/>
        </patternFill>
      </fill>
    </dxf>
    <dxf>
      <font>
        <b/>
        <i val="0"/>
        <color rgb="FFFFFF00"/>
      </font>
      <fill>
        <patternFill>
          <bgColor rgb="FFFF0000"/>
        </patternFill>
      </fill>
    </dxf>
    <dxf>
      <font>
        <color theme="0" tint="-0.24994659260841701"/>
      </font>
      <fill>
        <patternFill>
          <bgColor theme="0" tint="-0.24994659260841701"/>
        </patternFill>
      </fill>
    </dxf>
    <dxf>
      <font>
        <b/>
        <i val="0"/>
        <color rgb="FFFFFF00"/>
      </font>
      <fill>
        <patternFill>
          <bgColor rgb="FFFF0000"/>
        </patternFill>
      </fill>
    </dxf>
    <dxf>
      <font>
        <color theme="0" tint="-0.24994659260841701"/>
      </font>
      <fill>
        <patternFill>
          <bgColor theme="0" tint="-0.24994659260841701"/>
        </patternFill>
      </fill>
    </dxf>
    <dxf>
      <font>
        <b/>
        <i val="0"/>
        <color rgb="FFC00000"/>
      </font>
      <fill>
        <patternFill>
          <bgColor theme="0" tint="-0.24994659260841701"/>
        </patternFill>
      </fill>
    </dxf>
    <dxf>
      <font>
        <color rgb="FFFFFF00"/>
      </font>
      <fill>
        <patternFill>
          <bgColor rgb="FFFF0000"/>
        </patternFill>
      </fill>
    </dxf>
    <dxf>
      <font>
        <b/>
        <i val="0"/>
        <color rgb="FFC00000"/>
      </font>
      <fill>
        <patternFill>
          <bgColor rgb="FFC00000"/>
        </patternFill>
      </fill>
    </dxf>
    <dxf>
      <font>
        <b/>
        <i val="0"/>
        <condense val="0"/>
        <extend val="0"/>
        <color indexed="21"/>
      </font>
    </dxf>
    <dxf>
      <font>
        <b/>
        <i val="0"/>
        <condense val="0"/>
        <extend val="0"/>
        <color indexed="10"/>
      </font>
    </dxf>
    <dxf>
      <font>
        <b/>
        <i val="0"/>
        <color rgb="FFFFFF00"/>
      </font>
      <fill>
        <patternFill>
          <bgColor rgb="FFFF0000"/>
        </patternFill>
      </fill>
    </dxf>
    <dxf>
      <font>
        <color theme="0" tint="-0.24994659260841701"/>
      </font>
    </dxf>
    <dxf>
      <font>
        <b/>
        <i val="0"/>
        <color theme="0"/>
      </font>
      <fill>
        <patternFill>
          <bgColor theme="0" tint="-0.499984740745262"/>
        </patternFill>
      </fill>
    </dxf>
    <dxf>
      <font>
        <b/>
        <i val="0"/>
        <color theme="0"/>
      </font>
      <fill>
        <patternFill>
          <bgColor theme="0" tint="-0.499984740745262"/>
        </patternFill>
      </fill>
    </dxf>
    <dxf>
      <font>
        <color theme="9" tint="-0.499984740745262"/>
      </font>
    </dxf>
    <dxf>
      <font>
        <b/>
        <i val="0"/>
        <color rgb="FFFFFF00"/>
      </font>
      <fill>
        <patternFill>
          <bgColor rgb="FFC00000"/>
        </patternFill>
      </fill>
    </dxf>
    <dxf>
      <font>
        <b/>
        <i val="0"/>
        <color rgb="FFFFFF00"/>
      </font>
      <fill>
        <patternFill>
          <bgColor rgb="FFC00000"/>
        </patternFill>
      </fill>
    </dxf>
    <dxf>
      <font>
        <b/>
        <i val="0"/>
        <color theme="1"/>
      </font>
      <fill>
        <patternFill>
          <bgColor theme="0"/>
        </patternFill>
      </fill>
    </dxf>
    <dxf>
      <font>
        <b/>
        <i val="0"/>
        <color theme="1" tint="0.24994659260841701"/>
      </font>
      <fill>
        <patternFill>
          <bgColor rgb="FF969696"/>
        </patternFill>
      </fill>
    </dxf>
    <dxf>
      <font>
        <b/>
        <i val="0"/>
        <color rgb="FFFFFF00"/>
      </font>
      <fill>
        <patternFill>
          <bgColor rgb="FFC00000"/>
        </patternFill>
      </fill>
    </dxf>
    <dxf>
      <font>
        <b/>
        <i val="0"/>
        <color rgb="FFC00000"/>
      </font>
      <fill>
        <patternFill>
          <bgColor rgb="FFC00000"/>
        </patternFill>
      </fill>
    </dxf>
    <dxf>
      <font>
        <b/>
        <i val="0"/>
        <color rgb="FFC00000"/>
      </font>
      <fill>
        <patternFill>
          <bgColor rgb="FFC00000"/>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b/>
        <i val="0"/>
        <color theme="0"/>
      </font>
      <fill>
        <patternFill>
          <bgColor theme="0"/>
        </patternFill>
      </fill>
      <border>
        <left/>
        <right/>
        <top/>
        <bottom/>
      </border>
    </dxf>
    <dxf>
      <font>
        <color theme="0"/>
      </font>
      <fill>
        <patternFill>
          <bgColor theme="0"/>
        </patternFill>
      </fill>
      <border>
        <left/>
        <right/>
        <top/>
        <bottom/>
        <vertical/>
        <horizontal/>
      </border>
    </dxf>
    <dxf>
      <font>
        <b/>
        <i val="0"/>
        <color theme="9" tint="-0.499984740745262"/>
      </font>
      <fill>
        <patternFill>
          <bgColor rgb="FFFFFF99"/>
        </patternFill>
      </fill>
    </dxf>
    <dxf>
      <font>
        <b/>
        <i val="0"/>
        <color rgb="FF006666"/>
      </font>
      <fill>
        <patternFill>
          <bgColor theme="6" tint="0.39994506668294322"/>
        </patternFill>
      </fill>
    </dxf>
    <dxf>
      <font>
        <b/>
        <i val="0"/>
        <color rgb="FFFF0000"/>
      </font>
      <fill>
        <patternFill>
          <bgColor rgb="FFFFCCCC"/>
        </patternFill>
      </fill>
    </dxf>
    <dxf>
      <font>
        <b/>
        <i val="0"/>
        <color rgb="FFFFFF00"/>
      </font>
      <fill>
        <patternFill>
          <bgColor rgb="FFFF0000"/>
        </patternFill>
      </fill>
      <border>
        <left style="thin">
          <color auto="1"/>
        </left>
        <right style="thin">
          <color auto="1"/>
        </right>
        <top style="thin">
          <color auto="1"/>
        </top>
        <bottom style="thin">
          <color auto="1"/>
        </bottom>
      </border>
    </dxf>
    <dxf>
      <font>
        <color theme="0"/>
      </font>
      <fill>
        <patternFill>
          <bgColor theme="0"/>
        </patternFill>
      </fill>
      <border>
        <left/>
        <right/>
        <top/>
        <bottom/>
        <vertical/>
        <horizontal/>
      </border>
    </dxf>
    <dxf>
      <fill>
        <patternFill>
          <bgColor rgb="FFFF0000"/>
        </patternFill>
      </fill>
    </dxf>
    <dxf>
      <font>
        <b/>
        <i val="0"/>
        <color rgb="FFFFFF00"/>
      </font>
      <fill>
        <patternFill>
          <bgColor rgb="FFC00000"/>
        </patternFill>
      </fill>
    </dxf>
    <dxf>
      <font>
        <b/>
        <i val="0"/>
        <color rgb="FFC00000"/>
      </font>
      <fill>
        <patternFill>
          <bgColor rgb="FFC00000"/>
        </patternFill>
      </fill>
    </dxf>
    <dxf>
      <font>
        <b/>
        <i val="0"/>
        <color rgb="FFC00000"/>
      </font>
      <fill>
        <patternFill>
          <bgColor rgb="FFC00000"/>
        </patternFill>
      </fill>
    </dxf>
    <dxf>
      <fill>
        <patternFill>
          <bgColor rgb="FFFF0000"/>
        </patternFill>
      </fill>
    </dxf>
    <dxf>
      <fill>
        <patternFill>
          <bgColor theme="0" tint="-0.499984740745262"/>
        </patternFill>
      </fill>
    </dxf>
    <dxf>
      <font>
        <b/>
        <i val="0"/>
        <color rgb="FFFFFF00"/>
      </font>
      <fill>
        <patternFill>
          <bgColor rgb="FFFF0000"/>
        </patternFill>
      </fill>
    </dxf>
    <dxf>
      <font>
        <color theme="0" tint="-0.24994659260841701"/>
      </font>
      <fill>
        <patternFill>
          <bgColor theme="0" tint="-0.24994659260841701"/>
        </patternFill>
      </fill>
    </dxf>
    <dxf>
      <font>
        <b/>
        <i val="0"/>
        <color rgb="FFFFFF00"/>
      </font>
      <fill>
        <patternFill>
          <bgColor rgb="FFFF0000"/>
        </patternFill>
      </fill>
    </dxf>
    <dxf>
      <font>
        <color theme="0" tint="-0.24994659260841701"/>
      </font>
      <fill>
        <patternFill>
          <bgColor theme="0" tint="-0.24994659260841701"/>
        </patternFill>
      </fill>
    </dxf>
    <dxf>
      <font>
        <b/>
        <i val="0"/>
        <color rgb="FFC00000"/>
      </font>
      <fill>
        <patternFill>
          <bgColor theme="0" tint="-0.24994659260841701"/>
        </patternFill>
      </fill>
    </dxf>
    <dxf>
      <font>
        <color rgb="FFFFFF00"/>
      </font>
      <fill>
        <patternFill>
          <bgColor rgb="FFFF0000"/>
        </patternFill>
      </fill>
    </dxf>
    <dxf>
      <font>
        <b/>
        <i val="0"/>
        <color rgb="FFC00000"/>
      </font>
      <fill>
        <patternFill>
          <bgColor rgb="FFC00000"/>
        </patternFill>
      </fill>
    </dxf>
    <dxf>
      <font>
        <b/>
        <i val="0"/>
        <condense val="0"/>
        <extend val="0"/>
        <color indexed="21"/>
      </font>
    </dxf>
    <dxf>
      <font>
        <b/>
        <i val="0"/>
        <condense val="0"/>
        <extend val="0"/>
        <color indexed="10"/>
      </font>
    </dxf>
    <dxf>
      <font>
        <b/>
        <i val="0"/>
        <color rgb="FFFFFF00"/>
      </font>
      <fill>
        <patternFill>
          <bgColor rgb="FFFF0000"/>
        </patternFill>
      </fill>
    </dxf>
    <dxf>
      <font>
        <color theme="0" tint="-0.24994659260841701"/>
      </font>
    </dxf>
    <dxf>
      <font>
        <b/>
        <i val="0"/>
        <color theme="0"/>
      </font>
      <fill>
        <patternFill>
          <bgColor theme="0" tint="-0.499984740745262"/>
        </patternFill>
      </fill>
    </dxf>
    <dxf>
      <font>
        <b/>
        <i val="0"/>
        <color theme="0"/>
      </font>
      <fill>
        <patternFill>
          <bgColor theme="0" tint="-0.499984740745262"/>
        </patternFill>
      </fill>
    </dxf>
    <dxf>
      <font>
        <color theme="9" tint="-0.499984740745262"/>
      </font>
    </dxf>
    <dxf>
      <font>
        <b/>
        <i val="0"/>
        <color theme="1"/>
      </font>
      <fill>
        <patternFill>
          <bgColor theme="0"/>
        </patternFill>
      </fill>
    </dxf>
    <dxf>
      <font>
        <b/>
        <i val="0"/>
        <color rgb="FFFFFF00"/>
      </font>
      <fill>
        <patternFill>
          <bgColor rgb="FFC00000"/>
        </patternFill>
      </fill>
    </dxf>
    <dxf>
      <font>
        <b/>
        <i val="0"/>
        <color rgb="FFFFFF00"/>
      </font>
      <fill>
        <patternFill>
          <bgColor rgb="FFC00000"/>
        </patternFill>
      </fill>
    </dxf>
    <dxf>
      <font>
        <b/>
        <i val="0"/>
        <color theme="1" tint="0.24994659260841701"/>
      </font>
      <fill>
        <patternFill>
          <bgColor rgb="FF969696"/>
        </patternFill>
      </fill>
    </dxf>
    <dxf>
      <font>
        <b/>
        <i val="0"/>
        <color rgb="FFFFFF00"/>
      </font>
      <fill>
        <patternFill>
          <bgColor rgb="FFC00000"/>
        </patternFill>
      </fill>
    </dxf>
    <dxf>
      <font>
        <b/>
        <i val="0"/>
        <color rgb="FFC00000"/>
      </font>
      <fill>
        <patternFill>
          <bgColor rgb="FFC00000"/>
        </patternFill>
      </fill>
    </dxf>
    <dxf>
      <font>
        <b/>
        <i val="0"/>
        <color rgb="FFC00000"/>
      </font>
      <fill>
        <patternFill>
          <bgColor rgb="FFC00000"/>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b/>
        <i val="0"/>
        <color theme="0"/>
      </font>
      <fill>
        <patternFill>
          <bgColor theme="0"/>
        </patternFill>
      </fill>
      <border>
        <left/>
        <right/>
        <top/>
        <bottom/>
      </border>
    </dxf>
    <dxf>
      <font>
        <color theme="0"/>
      </font>
      <fill>
        <patternFill>
          <bgColor theme="0"/>
        </patternFill>
      </fill>
      <border>
        <left/>
        <right/>
        <top/>
        <bottom/>
        <vertical/>
        <horizontal/>
      </border>
    </dxf>
    <dxf>
      <font>
        <b/>
        <i val="0"/>
        <color theme="9" tint="-0.499984740745262"/>
      </font>
      <fill>
        <patternFill>
          <bgColor rgb="FFFFFF99"/>
        </patternFill>
      </fill>
    </dxf>
    <dxf>
      <font>
        <b/>
        <i val="0"/>
        <color rgb="FF006666"/>
      </font>
      <fill>
        <patternFill>
          <bgColor theme="6" tint="0.39994506668294322"/>
        </patternFill>
      </fill>
    </dxf>
    <dxf>
      <font>
        <b/>
        <i val="0"/>
        <color rgb="FFFF0000"/>
      </font>
      <fill>
        <patternFill>
          <bgColor rgb="FFFFCCCC"/>
        </patternFill>
      </fill>
    </dxf>
    <dxf>
      <font>
        <b/>
        <i val="0"/>
        <color rgb="FFFFFF00"/>
      </font>
      <fill>
        <patternFill>
          <bgColor rgb="FFFF0000"/>
        </patternFill>
      </fill>
      <border>
        <left style="thin">
          <color auto="1"/>
        </left>
        <right style="thin">
          <color auto="1"/>
        </right>
        <top style="thin">
          <color auto="1"/>
        </top>
        <bottom style="thin">
          <color auto="1"/>
        </bottom>
      </border>
    </dxf>
    <dxf>
      <font>
        <color theme="0"/>
      </font>
      <fill>
        <patternFill>
          <bgColor theme="0"/>
        </patternFill>
      </fill>
      <border>
        <left/>
        <right/>
        <top/>
        <bottom/>
        <vertical/>
        <horizontal/>
      </border>
    </dxf>
    <dxf>
      <fill>
        <patternFill>
          <bgColor rgb="FFFF0000"/>
        </patternFill>
      </fill>
    </dxf>
    <dxf>
      <font>
        <b/>
        <i val="0"/>
        <color rgb="FFFFFF00"/>
      </font>
      <fill>
        <patternFill>
          <bgColor rgb="FFC00000"/>
        </patternFill>
      </fill>
    </dxf>
    <dxf>
      <font>
        <b/>
        <i val="0"/>
        <color rgb="FFC00000"/>
      </font>
      <fill>
        <patternFill>
          <bgColor rgb="FFC00000"/>
        </patternFill>
      </fill>
    </dxf>
    <dxf>
      <font>
        <b/>
        <i val="0"/>
        <color rgb="FFC00000"/>
      </font>
      <fill>
        <patternFill>
          <bgColor rgb="FFC00000"/>
        </patternFill>
      </fill>
    </dxf>
    <dxf>
      <fill>
        <patternFill>
          <bgColor rgb="FFFF0000"/>
        </patternFill>
      </fill>
    </dxf>
    <dxf>
      <fill>
        <patternFill>
          <bgColor theme="0" tint="-0.499984740745262"/>
        </patternFill>
      </fill>
    </dxf>
    <dxf>
      <font>
        <b/>
        <i val="0"/>
        <color rgb="FFFFFF00"/>
      </font>
      <fill>
        <patternFill>
          <bgColor rgb="FFFF0000"/>
        </patternFill>
      </fill>
    </dxf>
    <dxf>
      <font>
        <color theme="0" tint="-0.24994659260841701"/>
      </font>
      <fill>
        <patternFill>
          <bgColor theme="0" tint="-0.24994659260841701"/>
        </patternFill>
      </fill>
    </dxf>
    <dxf>
      <font>
        <b/>
        <i val="0"/>
        <color rgb="FFFFFF00"/>
      </font>
      <fill>
        <patternFill>
          <bgColor rgb="FFFF0000"/>
        </patternFill>
      </fill>
    </dxf>
    <dxf>
      <font>
        <color theme="0" tint="-0.24994659260841701"/>
      </font>
      <fill>
        <patternFill>
          <bgColor theme="0" tint="-0.24994659260841701"/>
        </patternFill>
      </fill>
    </dxf>
    <dxf>
      <font>
        <b/>
        <i val="0"/>
        <color rgb="FFC00000"/>
      </font>
      <fill>
        <patternFill>
          <bgColor theme="0" tint="-0.24994659260841701"/>
        </patternFill>
      </fill>
    </dxf>
    <dxf>
      <font>
        <color rgb="FFFFFF00"/>
      </font>
      <fill>
        <patternFill>
          <bgColor rgb="FFFF0000"/>
        </patternFill>
      </fill>
    </dxf>
    <dxf>
      <font>
        <b/>
        <i val="0"/>
        <color rgb="FFC00000"/>
      </font>
      <fill>
        <patternFill>
          <bgColor rgb="FFC00000"/>
        </patternFill>
      </fill>
    </dxf>
    <dxf>
      <font>
        <b/>
        <i val="0"/>
        <condense val="0"/>
        <extend val="0"/>
        <color indexed="21"/>
      </font>
    </dxf>
    <dxf>
      <font>
        <b/>
        <i val="0"/>
        <condense val="0"/>
        <extend val="0"/>
        <color indexed="10"/>
      </font>
    </dxf>
    <dxf>
      <font>
        <b/>
        <i val="0"/>
        <color rgb="FFFFFF00"/>
      </font>
      <fill>
        <patternFill>
          <bgColor rgb="FFFF0000"/>
        </patternFill>
      </fill>
    </dxf>
    <dxf>
      <font>
        <color theme="0" tint="-0.24994659260841701"/>
      </font>
    </dxf>
    <dxf>
      <font>
        <b/>
        <i val="0"/>
        <color theme="0"/>
      </font>
      <fill>
        <patternFill>
          <bgColor theme="0" tint="-0.499984740745262"/>
        </patternFill>
      </fill>
    </dxf>
    <dxf>
      <font>
        <b/>
        <i val="0"/>
        <color theme="0"/>
      </font>
      <fill>
        <patternFill>
          <bgColor theme="0" tint="-0.499984740745262"/>
        </patternFill>
      </fill>
    </dxf>
    <dxf>
      <font>
        <color theme="9" tint="-0.499984740745262"/>
      </font>
    </dxf>
    <dxf>
      <font>
        <b/>
        <i val="0"/>
        <color theme="1"/>
      </font>
      <fill>
        <patternFill>
          <bgColor theme="0"/>
        </patternFill>
      </fill>
    </dxf>
    <dxf>
      <font>
        <b/>
        <i val="0"/>
        <color rgb="FFFFFF00"/>
      </font>
      <fill>
        <patternFill>
          <bgColor rgb="FFC00000"/>
        </patternFill>
      </fill>
    </dxf>
    <dxf>
      <font>
        <b/>
        <i val="0"/>
        <color rgb="FFFFFF00"/>
      </font>
      <fill>
        <patternFill>
          <bgColor rgb="FFC00000"/>
        </patternFill>
      </fill>
    </dxf>
    <dxf>
      <font>
        <b/>
        <i val="0"/>
        <color theme="1" tint="0.24994659260841701"/>
      </font>
      <fill>
        <patternFill>
          <bgColor rgb="FF969696"/>
        </patternFill>
      </fill>
    </dxf>
    <dxf>
      <font>
        <b/>
        <i val="0"/>
        <color rgb="FFFFFF00"/>
      </font>
      <fill>
        <patternFill>
          <bgColor rgb="FFC00000"/>
        </patternFill>
      </fill>
    </dxf>
    <dxf>
      <font>
        <b/>
        <i val="0"/>
        <color rgb="FFC00000"/>
      </font>
      <fill>
        <patternFill>
          <bgColor rgb="FFC00000"/>
        </patternFill>
      </fill>
    </dxf>
    <dxf>
      <font>
        <b/>
        <i val="0"/>
        <color rgb="FFC00000"/>
      </font>
      <fill>
        <patternFill>
          <bgColor rgb="FFC00000"/>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b/>
        <i val="0"/>
        <color theme="0"/>
      </font>
      <fill>
        <patternFill>
          <bgColor theme="0"/>
        </patternFill>
      </fill>
      <border>
        <left/>
        <right/>
        <top/>
        <bottom/>
      </border>
    </dxf>
    <dxf>
      <font>
        <color theme="0"/>
      </font>
      <fill>
        <patternFill>
          <bgColor theme="0"/>
        </patternFill>
      </fill>
      <border>
        <left/>
        <right/>
        <top/>
        <bottom/>
        <vertical/>
        <horizontal/>
      </border>
    </dxf>
    <dxf>
      <font>
        <b/>
        <i val="0"/>
        <color theme="9" tint="-0.499984740745262"/>
      </font>
      <fill>
        <patternFill>
          <bgColor rgb="FFFFFF99"/>
        </patternFill>
      </fill>
    </dxf>
    <dxf>
      <font>
        <b/>
        <i val="0"/>
        <color rgb="FF006666"/>
      </font>
      <fill>
        <patternFill>
          <bgColor theme="6" tint="0.39994506668294322"/>
        </patternFill>
      </fill>
    </dxf>
    <dxf>
      <font>
        <b/>
        <i val="0"/>
        <color rgb="FFFF0000"/>
      </font>
      <fill>
        <patternFill>
          <bgColor rgb="FFFFCCCC"/>
        </patternFill>
      </fill>
    </dxf>
    <dxf>
      <font>
        <b/>
        <i val="0"/>
        <color rgb="FFFFFF00"/>
      </font>
      <fill>
        <patternFill>
          <bgColor rgb="FFFF0000"/>
        </patternFill>
      </fill>
      <border>
        <left style="thin">
          <color auto="1"/>
        </left>
        <right style="thin">
          <color auto="1"/>
        </right>
        <top style="thin">
          <color auto="1"/>
        </top>
        <bottom style="thin">
          <color auto="1"/>
        </bottom>
      </border>
    </dxf>
    <dxf>
      <font>
        <color theme="0"/>
      </font>
      <fill>
        <patternFill>
          <bgColor theme="0"/>
        </patternFill>
      </fill>
      <border>
        <left/>
        <right/>
        <top/>
        <bottom/>
        <vertical/>
        <horizontal/>
      </border>
    </dxf>
    <dxf>
      <fill>
        <patternFill>
          <bgColor rgb="FFFF0000"/>
        </patternFill>
      </fill>
    </dxf>
    <dxf>
      <font>
        <b/>
        <i val="0"/>
        <color rgb="FFFFFF00"/>
      </font>
      <fill>
        <patternFill>
          <bgColor rgb="FFC00000"/>
        </patternFill>
      </fill>
    </dxf>
    <dxf>
      <font>
        <b/>
        <i val="0"/>
        <color rgb="FFC00000"/>
      </font>
      <fill>
        <patternFill>
          <bgColor rgb="FFC00000"/>
        </patternFill>
      </fill>
    </dxf>
    <dxf>
      <font>
        <b/>
        <i val="0"/>
        <color rgb="FFC00000"/>
      </font>
      <fill>
        <patternFill>
          <bgColor rgb="FFC00000"/>
        </patternFill>
      </fill>
    </dxf>
    <dxf>
      <fill>
        <patternFill>
          <bgColor rgb="FFFF0000"/>
        </patternFill>
      </fill>
    </dxf>
    <dxf>
      <fill>
        <patternFill>
          <bgColor theme="0" tint="-0.499984740745262"/>
        </patternFill>
      </fill>
    </dxf>
    <dxf>
      <font>
        <b/>
        <i val="0"/>
        <color rgb="FFFFFF00"/>
      </font>
      <fill>
        <patternFill>
          <bgColor rgb="FFFF0000"/>
        </patternFill>
      </fill>
    </dxf>
    <dxf>
      <font>
        <color theme="0" tint="-0.24994659260841701"/>
      </font>
      <fill>
        <patternFill>
          <bgColor theme="0" tint="-0.24994659260841701"/>
        </patternFill>
      </fill>
    </dxf>
    <dxf>
      <font>
        <b/>
        <i val="0"/>
        <color rgb="FFFFFF00"/>
      </font>
      <fill>
        <patternFill>
          <bgColor rgb="FFFF0000"/>
        </patternFill>
      </fill>
    </dxf>
    <dxf>
      <font>
        <color theme="0" tint="-0.24994659260841701"/>
      </font>
      <fill>
        <patternFill>
          <bgColor theme="0" tint="-0.24994659260841701"/>
        </patternFill>
      </fill>
    </dxf>
    <dxf>
      <font>
        <b/>
        <i val="0"/>
        <color rgb="FFC00000"/>
      </font>
      <fill>
        <patternFill>
          <bgColor theme="0" tint="-0.24994659260841701"/>
        </patternFill>
      </fill>
    </dxf>
    <dxf>
      <font>
        <color rgb="FFFFFF00"/>
      </font>
      <fill>
        <patternFill>
          <bgColor rgb="FFFF0000"/>
        </patternFill>
      </fill>
    </dxf>
    <dxf>
      <font>
        <b/>
        <i val="0"/>
        <color rgb="FFC00000"/>
      </font>
      <fill>
        <patternFill>
          <bgColor rgb="FFC00000"/>
        </patternFill>
      </fill>
    </dxf>
    <dxf>
      <font>
        <b/>
        <i val="0"/>
        <condense val="0"/>
        <extend val="0"/>
        <color indexed="21"/>
      </font>
    </dxf>
    <dxf>
      <font>
        <b/>
        <i val="0"/>
        <condense val="0"/>
        <extend val="0"/>
        <color indexed="10"/>
      </font>
    </dxf>
    <dxf>
      <font>
        <b/>
        <i val="0"/>
        <color rgb="FFFFFF00"/>
      </font>
      <fill>
        <patternFill>
          <bgColor rgb="FFFF0000"/>
        </patternFill>
      </fill>
    </dxf>
    <dxf>
      <font>
        <color theme="0" tint="-0.24994659260841701"/>
      </font>
    </dxf>
    <dxf>
      <font>
        <b/>
        <i val="0"/>
        <color theme="0"/>
      </font>
      <fill>
        <patternFill>
          <bgColor theme="0" tint="-0.499984740745262"/>
        </patternFill>
      </fill>
    </dxf>
    <dxf>
      <font>
        <b/>
        <i val="0"/>
        <color theme="0"/>
      </font>
      <fill>
        <patternFill>
          <bgColor theme="0" tint="-0.499984740745262"/>
        </patternFill>
      </fill>
    </dxf>
    <dxf>
      <font>
        <color theme="9" tint="-0.499984740745262"/>
      </font>
    </dxf>
    <dxf>
      <font>
        <b/>
        <i val="0"/>
        <color theme="1"/>
      </font>
      <fill>
        <patternFill>
          <bgColor theme="0"/>
        </patternFill>
      </fill>
    </dxf>
    <dxf>
      <font>
        <b/>
        <i val="0"/>
        <color rgb="FFFFFF00"/>
      </font>
      <fill>
        <patternFill>
          <bgColor rgb="FFC00000"/>
        </patternFill>
      </fill>
    </dxf>
    <dxf>
      <font>
        <b/>
        <i val="0"/>
        <color rgb="FFFFFF00"/>
      </font>
      <fill>
        <patternFill>
          <bgColor rgb="FFC00000"/>
        </patternFill>
      </fill>
    </dxf>
    <dxf>
      <font>
        <b/>
        <i val="0"/>
        <color theme="1" tint="0.24994659260841701"/>
      </font>
      <fill>
        <patternFill>
          <bgColor rgb="FF969696"/>
        </patternFill>
      </fill>
    </dxf>
    <dxf>
      <font>
        <b/>
        <i val="0"/>
        <color rgb="FFFFFF00"/>
      </font>
      <fill>
        <patternFill>
          <bgColor rgb="FFC00000"/>
        </patternFill>
      </fill>
    </dxf>
    <dxf>
      <font>
        <b/>
        <i val="0"/>
        <color rgb="FFC00000"/>
      </font>
      <fill>
        <patternFill>
          <bgColor rgb="FFC00000"/>
        </patternFill>
      </fill>
    </dxf>
    <dxf>
      <font>
        <b/>
        <i val="0"/>
        <color rgb="FFC00000"/>
      </font>
      <fill>
        <patternFill>
          <bgColor rgb="FFC00000"/>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b/>
        <i val="0"/>
        <color theme="0"/>
      </font>
      <fill>
        <patternFill>
          <bgColor theme="0"/>
        </patternFill>
      </fill>
      <border>
        <left/>
        <right/>
        <top/>
        <bottom/>
      </border>
    </dxf>
    <dxf>
      <font>
        <color theme="0"/>
      </font>
      <fill>
        <patternFill>
          <bgColor theme="0"/>
        </patternFill>
      </fill>
      <border>
        <left/>
        <right/>
        <top/>
        <bottom/>
        <vertical/>
        <horizontal/>
      </border>
    </dxf>
    <dxf>
      <font>
        <b/>
        <i val="0"/>
        <color theme="9" tint="-0.499984740745262"/>
      </font>
      <fill>
        <patternFill>
          <bgColor rgb="FFFFFF99"/>
        </patternFill>
      </fill>
    </dxf>
    <dxf>
      <font>
        <b/>
        <i val="0"/>
        <color rgb="FF006666"/>
      </font>
      <fill>
        <patternFill>
          <bgColor theme="6" tint="0.39994506668294322"/>
        </patternFill>
      </fill>
    </dxf>
    <dxf>
      <font>
        <b/>
        <i val="0"/>
        <color rgb="FFFF0000"/>
      </font>
      <fill>
        <patternFill>
          <bgColor rgb="FFFFCCCC"/>
        </patternFill>
      </fill>
    </dxf>
    <dxf>
      <font>
        <b/>
        <i val="0"/>
        <color rgb="FFFFFF00"/>
      </font>
      <fill>
        <patternFill>
          <bgColor rgb="FFFF0000"/>
        </patternFill>
      </fill>
      <border>
        <left style="thin">
          <color auto="1"/>
        </left>
        <right style="thin">
          <color auto="1"/>
        </right>
        <top style="thin">
          <color auto="1"/>
        </top>
        <bottom style="thin">
          <color auto="1"/>
        </bottom>
      </border>
    </dxf>
    <dxf>
      <font>
        <color theme="0"/>
      </font>
      <fill>
        <patternFill>
          <bgColor theme="0"/>
        </patternFill>
      </fill>
      <border>
        <left/>
        <right/>
        <top/>
        <bottom/>
        <vertical/>
        <horizontal/>
      </border>
    </dxf>
    <dxf>
      <fill>
        <patternFill>
          <bgColor rgb="FFFF0000"/>
        </patternFill>
      </fill>
    </dxf>
    <dxf>
      <font>
        <b/>
        <i val="0"/>
        <color rgb="FFFFFF00"/>
      </font>
      <fill>
        <patternFill>
          <bgColor rgb="FFC00000"/>
        </patternFill>
      </fill>
    </dxf>
    <dxf>
      <font>
        <b/>
        <i val="0"/>
        <color rgb="FFC00000"/>
      </font>
      <fill>
        <patternFill>
          <bgColor rgb="FFC00000"/>
        </patternFill>
      </fill>
    </dxf>
    <dxf>
      <font>
        <b/>
        <i val="0"/>
        <color rgb="FFC00000"/>
      </font>
      <fill>
        <patternFill>
          <bgColor rgb="FFC00000"/>
        </patternFill>
      </fill>
    </dxf>
    <dxf>
      <fill>
        <patternFill>
          <bgColor rgb="FFFF0000"/>
        </patternFill>
      </fill>
    </dxf>
    <dxf>
      <fill>
        <patternFill>
          <bgColor theme="0" tint="-0.499984740745262"/>
        </patternFill>
      </fill>
    </dxf>
    <dxf>
      <font>
        <b/>
        <i val="0"/>
        <color rgb="FFFFFF00"/>
      </font>
      <fill>
        <patternFill>
          <bgColor rgb="FFFF0000"/>
        </patternFill>
      </fill>
    </dxf>
    <dxf>
      <font>
        <color theme="0" tint="-0.24994659260841701"/>
      </font>
      <fill>
        <patternFill>
          <bgColor theme="0" tint="-0.24994659260841701"/>
        </patternFill>
      </fill>
    </dxf>
    <dxf>
      <font>
        <b/>
        <i val="0"/>
        <color rgb="FFFFFF00"/>
      </font>
      <fill>
        <patternFill>
          <bgColor rgb="FFFF0000"/>
        </patternFill>
      </fill>
    </dxf>
    <dxf>
      <font>
        <color theme="0" tint="-0.24994659260841701"/>
      </font>
      <fill>
        <patternFill>
          <bgColor theme="0" tint="-0.24994659260841701"/>
        </patternFill>
      </fill>
    </dxf>
    <dxf>
      <font>
        <b/>
        <i val="0"/>
        <color rgb="FFC00000"/>
      </font>
      <fill>
        <patternFill>
          <bgColor theme="0" tint="-0.24994659260841701"/>
        </patternFill>
      </fill>
    </dxf>
    <dxf>
      <font>
        <color rgb="FFFFFF00"/>
      </font>
      <fill>
        <patternFill>
          <bgColor rgb="FFFF0000"/>
        </patternFill>
      </fill>
    </dxf>
    <dxf>
      <font>
        <b/>
        <i val="0"/>
        <color rgb="FFC00000"/>
      </font>
      <fill>
        <patternFill>
          <bgColor rgb="FFC00000"/>
        </patternFill>
      </fill>
    </dxf>
    <dxf>
      <font>
        <b/>
        <i val="0"/>
        <condense val="0"/>
        <extend val="0"/>
        <color indexed="21"/>
      </font>
    </dxf>
    <dxf>
      <font>
        <b/>
        <i val="0"/>
        <condense val="0"/>
        <extend val="0"/>
        <color indexed="10"/>
      </font>
    </dxf>
    <dxf>
      <font>
        <b/>
        <i val="0"/>
        <color rgb="FFFFFF00"/>
      </font>
      <fill>
        <patternFill>
          <bgColor rgb="FFFF0000"/>
        </patternFill>
      </fill>
    </dxf>
    <dxf>
      <font>
        <color theme="0" tint="-0.24994659260841701"/>
      </font>
    </dxf>
    <dxf>
      <font>
        <b/>
        <i val="0"/>
        <color theme="0"/>
      </font>
      <fill>
        <patternFill>
          <bgColor theme="0" tint="-0.499984740745262"/>
        </patternFill>
      </fill>
    </dxf>
    <dxf>
      <font>
        <b/>
        <i val="0"/>
        <color theme="0"/>
      </font>
      <fill>
        <patternFill>
          <bgColor theme="0" tint="-0.499984740745262"/>
        </patternFill>
      </fill>
    </dxf>
    <dxf>
      <font>
        <color theme="9" tint="-0.499984740745262"/>
      </font>
    </dxf>
    <dxf>
      <font>
        <b/>
        <i val="0"/>
        <color rgb="FFFFFF00"/>
      </font>
      <fill>
        <patternFill>
          <bgColor rgb="FFC00000"/>
        </patternFill>
      </fill>
    </dxf>
    <dxf>
      <font>
        <b/>
        <i val="0"/>
        <color rgb="FFFFFF00"/>
      </font>
      <fill>
        <patternFill>
          <bgColor rgb="FFC00000"/>
        </patternFill>
      </fill>
    </dxf>
    <dxf>
      <font>
        <b/>
        <i val="0"/>
        <color theme="1"/>
      </font>
      <fill>
        <patternFill>
          <bgColor theme="0"/>
        </patternFill>
      </fill>
    </dxf>
    <dxf>
      <font>
        <b/>
        <i val="0"/>
        <color theme="1" tint="0.24994659260841701"/>
      </font>
      <fill>
        <patternFill>
          <bgColor rgb="FF969696"/>
        </patternFill>
      </fill>
    </dxf>
    <dxf>
      <font>
        <b/>
        <i val="0"/>
        <color rgb="FFFFFF00"/>
      </font>
      <fill>
        <patternFill>
          <bgColor rgb="FFC00000"/>
        </patternFill>
      </fill>
    </dxf>
    <dxf>
      <font>
        <b/>
        <i val="0"/>
        <color rgb="FFC00000"/>
      </font>
      <fill>
        <patternFill>
          <bgColor rgb="FFC00000"/>
        </patternFill>
      </fill>
    </dxf>
    <dxf>
      <font>
        <b/>
        <i val="0"/>
        <color rgb="FFC00000"/>
      </font>
      <fill>
        <patternFill>
          <bgColor rgb="FFC00000"/>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b/>
        <i val="0"/>
        <color theme="0"/>
      </font>
      <fill>
        <patternFill>
          <bgColor theme="0"/>
        </patternFill>
      </fill>
      <border>
        <left/>
        <right/>
        <top/>
        <bottom/>
      </border>
    </dxf>
    <dxf>
      <font>
        <color theme="0"/>
      </font>
      <fill>
        <patternFill>
          <bgColor theme="0"/>
        </patternFill>
      </fill>
      <border>
        <left/>
        <right/>
        <top/>
        <bottom/>
        <vertical/>
        <horizontal/>
      </border>
    </dxf>
    <dxf>
      <font>
        <b/>
        <i val="0"/>
        <color theme="9" tint="-0.499984740745262"/>
      </font>
      <fill>
        <patternFill>
          <bgColor rgb="FFFFFF99"/>
        </patternFill>
      </fill>
    </dxf>
    <dxf>
      <font>
        <b/>
        <i val="0"/>
        <color rgb="FF006666"/>
      </font>
      <fill>
        <patternFill>
          <bgColor theme="6" tint="0.39994506668294322"/>
        </patternFill>
      </fill>
    </dxf>
    <dxf>
      <font>
        <b/>
        <i val="0"/>
        <color rgb="FFFF0000"/>
      </font>
      <fill>
        <patternFill>
          <bgColor rgb="FFFFCCCC"/>
        </patternFill>
      </fill>
    </dxf>
    <dxf>
      <font>
        <b/>
        <i val="0"/>
        <color rgb="FFFFFF00"/>
      </font>
      <fill>
        <patternFill>
          <bgColor rgb="FFFF0000"/>
        </patternFill>
      </fill>
      <border>
        <left style="thin">
          <color auto="1"/>
        </left>
        <right style="thin">
          <color auto="1"/>
        </right>
        <top style="thin">
          <color auto="1"/>
        </top>
        <bottom style="thin">
          <color auto="1"/>
        </bottom>
      </border>
    </dxf>
    <dxf>
      <font>
        <color theme="0"/>
      </font>
      <fill>
        <patternFill>
          <bgColor theme="0"/>
        </patternFill>
      </fill>
      <border>
        <left/>
        <right/>
        <top/>
        <bottom/>
        <vertical/>
        <horizontal/>
      </border>
    </dxf>
    <dxf>
      <fill>
        <patternFill>
          <bgColor rgb="FFFF0000"/>
        </patternFill>
      </fill>
    </dxf>
    <dxf>
      <font>
        <b/>
        <i val="0"/>
        <color rgb="FFFFFF00"/>
      </font>
      <fill>
        <patternFill>
          <bgColor rgb="FFC00000"/>
        </patternFill>
      </fill>
    </dxf>
    <dxf>
      <font>
        <b/>
        <i val="0"/>
        <color rgb="FFC00000"/>
      </font>
      <fill>
        <patternFill>
          <bgColor rgb="FFC00000"/>
        </patternFill>
      </fill>
    </dxf>
    <dxf>
      <font>
        <b/>
        <i val="0"/>
        <color rgb="FFC00000"/>
      </font>
      <fill>
        <patternFill>
          <bgColor rgb="FFC00000"/>
        </patternFill>
      </fill>
    </dxf>
    <dxf>
      <fill>
        <patternFill>
          <bgColor rgb="FFFF0000"/>
        </patternFill>
      </fill>
    </dxf>
    <dxf>
      <fill>
        <patternFill>
          <bgColor theme="0" tint="-0.499984740745262"/>
        </patternFill>
      </fill>
    </dxf>
    <dxf>
      <font>
        <b/>
        <i val="0"/>
        <color rgb="FFFFFF00"/>
      </font>
      <fill>
        <patternFill>
          <bgColor rgb="FFFF0000"/>
        </patternFill>
      </fill>
    </dxf>
    <dxf>
      <font>
        <color theme="0" tint="-0.24994659260841701"/>
      </font>
      <fill>
        <patternFill>
          <bgColor theme="0" tint="-0.24994659260841701"/>
        </patternFill>
      </fill>
    </dxf>
    <dxf>
      <font>
        <b/>
        <i val="0"/>
        <color rgb="FFFFFF00"/>
      </font>
      <fill>
        <patternFill>
          <bgColor rgb="FFFF0000"/>
        </patternFill>
      </fill>
    </dxf>
    <dxf>
      <font>
        <color theme="0" tint="-0.24994659260841701"/>
      </font>
      <fill>
        <patternFill>
          <bgColor theme="0" tint="-0.24994659260841701"/>
        </patternFill>
      </fill>
    </dxf>
    <dxf>
      <font>
        <b/>
        <i val="0"/>
        <color rgb="FFC00000"/>
      </font>
      <fill>
        <patternFill>
          <bgColor theme="0" tint="-0.24994659260841701"/>
        </patternFill>
      </fill>
    </dxf>
    <dxf>
      <font>
        <color rgb="FFFFFF00"/>
      </font>
      <fill>
        <patternFill>
          <bgColor rgb="FFFF0000"/>
        </patternFill>
      </fill>
    </dxf>
    <dxf>
      <font>
        <b/>
        <i val="0"/>
        <color rgb="FFC00000"/>
      </font>
      <fill>
        <patternFill>
          <bgColor rgb="FFC00000"/>
        </patternFill>
      </fill>
    </dxf>
    <dxf>
      <font>
        <b/>
        <i val="0"/>
        <condense val="0"/>
        <extend val="0"/>
        <color indexed="21"/>
      </font>
    </dxf>
    <dxf>
      <font>
        <b/>
        <i val="0"/>
        <condense val="0"/>
        <extend val="0"/>
        <color indexed="10"/>
      </font>
    </dxf>
    <dxf>
      <font>
        <b/>
        <i val="0"/>
        <color rgb="FFFFFF00"/>
      </font>
      <fill>
        <patternFill>
          <bgColor rgb="FFFF0000"/>
        </patternFill>
      </fill>
    </dxf>
    <dxf>
      <font>
        <color theme="0" tint="-0.24994659260841701"/>
      </font>
    </dxf>
    <dxf>
      <font>
        <b/>
        <i val="0"/>
        <color theme="0"/>
      </font>
      <fill>
        <patternFill>
          <bgColor theme="0" tint="-0.499984740745262"/>
        </patternFill>
      </fill>
    </dxf>
    <dxf>
      <font>
        <b/>
        <i val="0"/>
        <color theme="0"/>
      </font>
      <fill>
        <patternFill>
          <bgColor theme="0" tint="-0.499984740745262"/>
        </patternFill>
      </fill>
    </dxf>
    <dxf>
      <font>
        <color theme="9" tint="-0.499984740745262"/>
      </font>
    </dxf>
    <dxf>
      <font>
        <b/>
        <i val="0"/>
        <color theme="1"/>
      </font>
      <fill>
        <patternFill>
          <bgColor theme="0"/>
        </patternFill>
      </fill>
    </dxf>
    <dxf>
      <font>
        <b/>
        <i val="0"/>
        <color rgb="FFFFFF00"/>
      </font>
      <fill>
        <patternFill>
          <bgColor rgb="FFC00000"/>
        </patternFill>
      </fill>
    </dxf>
    <dxf>
      <font>
        <b/>
        <i val="0"/>
        <color rgb="FFFFFF00"/>
      </font>
      <fill>
        <patternFill>
          <bgColor rgb="FFC00000"/>
        </patternFill>
      </fill>
    </dxf>
    <dxf>
      <font>
        <b/>
        <i val="0"/>
        <color theme="1" tint="0.24994659260841701"/>
      </font>
      <fill>
        <patternFill>
          <bgColor rgb="FF969696"/>
        </patternFill>
      </fill>
    </dxf>
    <dxf>
      <font>
        <b/>
        <i val="0"/>
        <color rgb="FFFFFF00"/>
      </font>
      <fill>
        <patternFill>
          <bgColor rgb="FFC00000"/>
        </patternFill>
      </fill>
    </dxf>
    <dxf>
      <font>
        <b/>
        <i val="0"/>
        <color rgb="FFC00000"/>
      </font>
      <fill>
        <patternFill>
          <bgColor rgb="FFC00000"/>
        </patternFill>
      </fill>
    </dxf>
    <dxf>
      <font>
        <b/>
        <i val="0"/>
        <color rgb="FFC00000"/>
      </font>
      <fill>
        <patternFill>
          <bgColor rgb="FFC00000"/>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b/>
        <i val="0"/>
        <color theme="0"/>
      </font>
      <fill>
        <patternFill>
          <bgColor theme="0"/>
        </patternFill>
      </fill>
      <border>
        <left/>
        <right/>
        <top/>
        <bottom/>
      </border>
    </dxf>
    <dxf>
      <font>
        <color theme="0"/>
      </font>
      <fill>
        <patternFill>
          <bgColor theme="0"/>
        </patternFill>
      </fill>
      <border>
        <left/>
        <right/>
        <top/>
        <bottom/>
        <vertical/>
        <horizontal/>
      </border>
    </dxf>
    <dxf>
      <font>
        <b/>
        <i val="0"/>
        <color theme="9" tint="-0.499984740745262"/>
      </font>
      <fill>
        <patternFill>
          <bgColor rgb="FFFFFF99"/>
        </patternFill>
      </fill>
    </dxf>
    <dxf>
      <font>
        <b/>
        <i val="0"/>
        <color rgb="FF006666"/>
      </font>
      <fill>
        <patternFill>
          <bgColor theme="6" tint="0.39994506668294322"/>
        </patternFill>
      </fill>
    </dxf>
    <dxf>
      <font>
        <b/>
        <i val="0"/>
        <color rgb="FFFF0000"/>
      </font>
      <fill>
        <patternFill>
          <bgColor rgb="FFFFCCCC"/>
        </patternFill>
      </fill>
    </dxf>
    <dxf>
      <font>
        <b/>
        <i val="0"/>
        <color rgb="FFFFFF00"/>
      </font>
      <fill>
        <patternFill>
          <bgColor rgb="FFFF0000"/>
        </patternFill>
      </fill>
      <border>
        <left style="thin">
          <color auto="1"/>
        </left>
        <right style="thin">
          <color auto="1"/>
        </right>
        <top style="thin">
          <color auto="1"/>
        </top>
        <bottom style="thin">
          <color auto="1"/>
        </bottom>
      </border>
    </dxf>
    <dxf>
      <font>
        <color theme="0"/>
      </font>
      <fill>
        <patternFill>
          <bgColor theme="0"/>
        </patternFill>
      </fill>
      <border>
        <left/>
        <right/>
        <top/>
        <bottom/>
        <vertical/>
        <horizontal/>
      </border>
    </dxf>
    <dxf>
      <fill>
        <patternFill>
          <bgColor rgb="FFFF0000"/>
        </patternFill>
      </fill>
    </dxf>
    <dxf>
      <font>
        <b/>
        <i val="0"/>
        <color rgb="FFFFFF00"/>
      </font>
      <fill>
        <patternFill>
          <bgColor rgb="FFC00000"/>
        </patternFill>
      </fill>
    </dxf>
    <dxf>
      <font>
        <b/>
        <i val="0"/>
        <color rgb="FFC00000"/>
      </font>
      <fill>
        <patternFill>
          <bgColor rgb="FFC00000"/>
        </patternFill>
      </fill>
    </dxf>
    <dxf>
      <font>
        <b/>
        <i val="0"/>
        <color rgb="FFC00000"/>
      </font>
      <fill>
        <patternFill>
          <bgColor rgb="FFC00000"/>
        </patternFill>
      </fill>
    </dxf>
    <dxf>
      <fill>
        <patternFill>
          <bgColor rgb="FFFF0000"/>
        </patternFill>
      </fill>
    </dxf>
    <dxf>
      <fill>
        <patternFill>
          <bgColor theme="0" tint="-0.499984740745262"/>
        </patternFill>
      </fill>
    </dxf>
    <dxf>
      <font>
        <b/>
        <i val="0"/>
        <color rgb="FFFFFF00"/>
      </font>
      <fill>
        <patternFill>
          <bgColor rgb="FFFF0000"/>
        </patternFill>
      </fill>
    </dxf>
    <dxf>
      <font>
        <color theme="0" tint="-0.24994659260841701"/>
      </font>
      <fill>
        <patternFill>
          <bgColor theme="0" tint="-0.24994659260841701"/>
        </patternFill>
      </fill>
    </dxf>
    <dxf>
      <font>
        <b/>
        <i val="0"/>
        <color rgb="FFFFFF00"/>
      </font>
      <fill>
        <patternFill>
          <bgColor rgb="FFFF0000"/>
        </patternFill>
      </fill>
    </dxf>
    <dxf>
      <font>
        <color theme="0" tint="-0.24994659260841701"/>
      </font>
      <fill>
        <patternFill>
          <bgColor theme="0" tint="-0.24994659260841701"/>
        </patternFill>
      </fill>
    </dxf>
    <dxf>
      <font>
        <b/>
        <i val="0"/>
        <color rgb="FFC00000"/>
      </font>
      <fill>
        <patternFill>
          <bgColor theme="0" tint="-0.24994659260841701"/>
        </patternFill>
      </fill>
    </dxf>
    <dxf>
      <font>
        <color rgb="FFFFFF00"/>
      </font>
      <fill>
        <patternFill>
          <bgColor rgb="FFFF0000"/>
        </patternFill>
      </fill>
    </dxf>
    <dxf>
      <font>
        <b/>
        <i val="0"/>
        <color rgb="FFC00000"/>
      </font>
      <fill>
        <patternFill>
          <bgColor rgb="FFC00000"/>
        </patternFill>
      </fill>
    </dxf>
    <dxf>
      <font>
        <b/>
        <i val="0"/>
        <condense val="0"/>
        <extend val="0"/>
        <color indexed="21"/>
      </font>
    </dxf>
    <dxf>
      <font>
        <b/>
        <i val="0"/>
        <condense val="0"/>
        <extend val="0"/>
        <color indexed="10"/>
      </font>
    </dxf>
    <dxf>
      <font>
        <b/>
        <i val="0"/>
        <color rgb="FFFFFF00"/>
      </font>
      <fill>
        <patternFill>
          <bgColor rgb="FFFF0000"/>
        </patternFill>
      </fill>
    </dxf>
    <dxf>
      <font>
        <color theme="0" tint="-0.24994659260841701"/>
      </font>
    </dxf>
    <dxf>
      <font>
        <b/>
        <i val="0"/>
        <color theme="0"/>
      </font>
      <fill>
        <patternFill>
          <bgColor theme="0" tint="-0.499984740745262"/>
        </patternFill>
      </fill>
    </dxf>
    <dxf>
      <font>
        <b/>
        <i val="0"/>
        <color theme="0"/>
      </font>
      <fill>
        <patternFill>
          <bgColor theme="0" tint="-0.499984740745262"/>
        </patternFill>
      </fill>
    </dxf>
    <dxf>
      <font>
        <color theme="9" tint="-0.499984740745262"/>
      </font>
    </dxf>
    <dxf>
      <font>
        <b/>
        <i val="0"/>
        <color theme="1"/>
      </font>
      <fill>
        <patternFill>
          <bgColor theme="0"/>
        </patternFill>
      </fill>
    </dxf>
    <dxf>
      <font>
        <b/>
        <i val="0"/>
        <color rgb="FFFFFF00"/>
      </font>
      <fill>
        <patternFill>
          <bgColor rgb="FFC00000"/>
        </patternFill>
      </fill>
    </dxf>
    <dxf>
      <font>
        <b/>
        <i val="0"/>
        <color rgb="FFFFFF00"/>
      </font>
      <fill>
        <patternFill>
          <bgColor rgb="FFC00000"/>
        </patternFill>
      </fill>
    </dxf>
    <dxf>
      <font>
        <b/>
        <i val="0"/>
        <color theme="1" tint="0.24994659260841701"/>
      </font>
      <fill>
        <patternFill>
          <bgColor rgb="FF969696"/>
        </patternFill>
      </fill>
    </dxf>
    <dxf>
      <font>
        <b/>
        <i val="0"/>
        <color rgb="FFFFFF00"/>
      </font>
      <fill>
        <patternFill>
          <bgColor rgb="FFC00000"/>
        </patternFill>
      </fill>
    </dxf>
    <dxf>
      <font>
        <b/>
        <i val="0"/>
        <color rgb="FFC00000"/>
      </font>
      <fill>
        <patternFill>
          <bgColor rgb="FFC00000"/>
        </patternFill>
      </fill>
    </dxf>
    <dxf>
      <font>
        <b/>
        <i val="0"/>
        <color rgb="FFC00000"/>
      </font>
      <fill>
        <patternFill>
          <bgColor rgb="FFC00000"/>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b/>
        <i val="0"/>
        <color theme="0"/>
      </font>
      <fill>
        <patternFill>
          <bgColor theme="0"/>
        </patternFill>
      </fill>
      <border>
        <left/>
        <right/>
        <top/>
        <bottom/>
      </border>
    </dxf>
    <dxf>
      <font>
        <color theme="0"/>
      </font>
      <fill>
        <patternFill>
          <bgColor theme="0"/>
        </patternFill>
      </fill>
      <border>
        <left/>
        <right/>
        <top/>
        <bottom/>
        <vertical/>
        <horizontal/>
      </border>
    </dxf>
    <dxf>
      <font>
        <b/>
        <i val="0"/>
        <color theme="9" tint="-0.499984740745262"/>
      </font>
      <fill>
        <patternFill>
          <bgColor rgb="FFFFFF99"/>
        </patternFill>
      </fill>
    </dxf>
    <dxf>
      <font>
        <b/>
        <i val="0"/>
        <color rgb="FF006666"/>
      </font>
      <fill>
        <patternFill>
          <bgColor theme="6" tint="0.39994506668294322"/>
        </patternFill>
      </fill>
    </dxf>
    <dxf>
      <font>
        <b/>
        <i val="0"/>
        <color rgb="FFFF0000"/>
      </font>
      <fill>
        <patternFill>
          <bgColor rgb="FFFFCCCC"/>
        </patternFill>
      </fill>
    </dxf>
    <dxf>
      <font>
        <b/>
        <i val="0"/>
        <color rgb="FFFFFF00"/>
      </font>
      <fill>
        <patternFill>
          <bgColor rgb="FFFF0000"/>
        </patternFill>
      </fill>
      <border>
        <left style="thin">
          <color auto="1"/>
        </left>
        <right style="thin">
          <color auto="1"/>
        </right>
        <top style="thin">
          <color auto="1"/>
        </top>
        <bottom style="thin">
          <color auto="1"/>
        </bottom>
      </border>
    </dxf>
    <dxf>
      <font>
        <color theme="0"/>
      </font>
      <fill>
        <patternFill>
          <bgColor theme="0"/>
        </patternFill>
      </fill>
      <border>
        <left/>
        <right/>
        <top/>
        <bottom/>
        <vertical/>
        <horizontal/>
      </border>
    </dxf>
    <dxf>
      <fill>
        <patternFill>
          <bgColor rgb="FFFF0000"/>
        </patternFill>
      </fill>
    </dxf>
    <dxf>
      <font>
        <b/>
        <i val="0"/>
        <color rgb="FFFFFF00"/>
      </font>
      <fill>
        <patternFill>
          <bgColor rgb="FFC00000"/>
        </patternFill>
      </fill>
    </dxf>
    <dxf>
      <font>
        <b/>
        <i val="0"/>
        <color rgb="FFC00000"/>
      </font>
      <fill>
        <patternFill>
          <bgColor rgb="FFC00000"/>
        </patternFill>
      </fill>
    </dxf>
    <dxf>
      <font>
        <b/>
        <i val="0"/>
        <color rgb="FFC00000"/>
      </font>
      <fill>
        <patternFill>
          <bgColor rgb="FFC00000"/>
        </patternFill>
      </fill>
    </dxf>
    <dxf>
      <fill>
        <patternFill>
          <bgColor rgb="FFFF0000"/>
        </patternFill>
      </fill>
    </dxf>
    <dxf>
      <fill>
        <patternFill>
          <bgColor theme="0" tint="-0.499984740745262"/>
        </patternFill>
      </fill>
    </dxf>
    <dxf>
      <font>
        <b/>
        <i val="0"/>
        <color rgb="FFFFFF00"/>
      </font>
      <fill>
        <patternFill>
          <bgColor rgb="FFFF0000"/>
        </patternFill>
      </fill>
    </dxf>
    <dxf>
      <font>
        <color theme="0" tint="-0.24994659260841701"/>
      </font>
      <fill>
        <patternFill>
          <bgColor theme="0" tint="-0.24994659260841701"/>
        </patternFill>
      </fill>
    </dxf>
    <dxf>
      <font>
        <b/>
        <i val="0"/>
        <color rgb="FFFFFF00"/>
      </font>
      <fill>
        <patternFill>
          <bgColor rgb="FFFF0000"/>
        </patternFill>
      </fill>
    </dxf>
    <dxf>
      <font>
        <color theme="0" tint="-0.24994659260841701"/>
      </font>
      <fill>
        <patternFill>
          <bgColor theme="0" tint="-0.24994659260841701"/>
        </patternFill>
      </fill>
    </dxf>
    <dxf>
      <font>
        <b/>
        <i val="0"/>
        <color rgb="FFC00000"/>
      </font>
      <fill>
        <patternFill>
          <bgColor theme="0" tint="-0.24994659260841701"/>
        </patternFill>
      </fill>
    </dxf>
    <dxf>
      <font>
        <color rgb="FFFFFF00"/>
      </font>
      <fill>
        <patternFill>
          <bgColor rgb="FFFF0000"/>
        </patternFill>
      </fill>
    </dxf>
    <dxf>
      <font>
        <b/>
        <i val="0"/>
        <color rgb="FFC00000"/>
      </font>
      <fill>
        <patternFill>
          <bgColor rgb="FFC00000"/>
        </patternFill>
      </fill>
    </dxf>
    <dxf>
      <font>
        <b/>
        <i val="0"/>
        <condense val="0"/>
        <extend val="0"/>
        <color indexed="21"/>
      </font>
    </dxf>
    <dxf>
      <font>
        <b/>
        <i val="0"/>
        <condense val="0"/>
        <extend val="0"/>
        <color indexed="10"/>
      </font>
    </dxf>
    <dxf>
      <font>
        <b/>
        <i val="0"/>
        <color rgb="FFFFFF00"/>
      </font>
      <fill>
        <patternFill>
          <bgColor rgb="FFFF0000"/>
        </patternFill>
      </fill>
    </dxf>
    <dxf>
      <font>
        <color theme="0" tint="-0.24994659260841701"/>
      </font>
    </dxf>
    <dxf>
      <font>
        <b/>
        <i val="0"/>
        <color theme="0"/>
      </font>
      <fill>
        <patternFill>
          <bgColor theme="0" tint="-0.499984740745262"/>
        </patternFill>
      </fill>
    </dxf>
    <dxf>
      <font>
        <b/>
        <i val="0"/>
        <color theme="0"/>
      </font>
      <fill>
        <patternFill>
          <bgColor theme="0" tint="-0.499984740745262"/>
        </patternFill>
      </fill>
    </dxf>
    <dxf>
      <font>
        <color theme="9" tint="-0.499984740745262"/>
      </font>
    </dxf>
    <dxf>
      <font>
        <b/>
        <i val="0"/>
        <color theme="1"/>
      </font>
      <fill>
        <patternFill>
          <bgColor theme="0"/>
        </patternFill>
      </fill>
    </dxf>
    <dxf>
      <font>
        <b/>
        <i val="0"/>
        <color rgb="FFFFFF00"/>
      </font>
      <fill>
        <patternFill>
          <bgColor rgb="FFC00000"/>
        </patternFill>
      </fill>
    </dxf>
    <dxf>
      <font>
        <b/>
        <i val="0"/>
        <color rgb="FFFFFF00"/>
      </font>
      <fill>
        <patternFill>
          <bgColor rgb="FFC00000"/>
        </patternFill>
      </fill>
    </dxf>
    <dxf>
      <font>
        <b/>
        <i val="0"/>
        <color theme="1" tint="0.24994659260841701"/>
      </font>
      <fill>
        <patternFill>
          <bgColor rgb="FF969696"/>
        </patternFill>
      </fill>
    </dxf>
    <dxf>
      <font>
        <b/>
        <i val="0"/>
        <color rgb="FFFFFF00"/>
      </font>
      <fill>
        <patternFill>
          <bgColor rgb="FFC00000"/>
        </patternFill>
      </fill>
    </dxf>
    <dxf>
      <font>
        <b/>
        <i val="0"/>
        <color rgb="FFC00000"/>
      </font>
      <fill>
        <patternFill>
          <bgColor rgb="FFC00000"/>
        </patternFill>
      </fill>
    </dxf>
    <dxf>
      <font>
        <b/>
        <i val="0"/>
        <color rgb="FFC00000"/>
      </font>
      <fill>
        <patternFill>
          <bgColor rgb="FFC00000"/>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b/>
        <i val="0"/>
        <color theme="0"/>
      </font>
      <fill>
        <patternFill>
          <bgColor theme="0"/>
        </patternFill>
      </fill>
      <border>
        <left/>
        <right/>
        <top/>
        <bottom/>
      </border>
    </dxf>
    <dxf>
      <font>
        <color theme="0"/>
      </font>
      <fill>
        <patternFill>
          <bgColor theme="0"/>
        </patternFill>
      </fill>
      <border>
        <left/>
        <right/>
        <top/>
        <bottom/>
        <vertical/>
        <horizontal/>
      </border>
    </dxf>
    <dxf>
      <font>
        <b/>
        <i val="0"/>
        <color theme="9" tint="-0.499984740745262"/>
      </font>
      <fill>
        <patternFill>
          <bgColor rgb="FFFFFF99"/>
        </patternFill>
      </fill>
    </dxf>
    <dxf>
      <font>
        <b/>
        <i val="0"/>
        <color rgb="FF006666"/>
      </font>
      <fill>
        <patternFill>
          <bgColor theme="6" tint="0.39994506668294322"/>
        </patternFill>
      </fill>
    </dxf>
    <dxf>
      <font>
        <b/>
        <i val="0"/>
        <color rgb="FFFF0000"/>
      </font>
      <fill>
        <patternFill>
          <bgColor rgb="FFFFCCCC"/>
        </patternFill>
      </fill>
    </dxf>
    <dxf>
      <font>
        <b/>
        <i val="0"/>
        <color rgb="FFFFFF00"/>
      </font>
      <fill>
        <patternFill>
          <bgColor rgb="FFFF0000"/>
        </patternFill>
      </fill>
      <border>
        <left style="thin">
          <color auto="1"/>
        </left>
        <right style="thin">
          <color auto="1"/>
        </right>
        <top style="thin">
          <color auto="1"/>
        </top>
        <bottom style="thin">
          <color auto="1"/>
        </bottom>
      </border>
    </dxf>
    <dxf>
      <font>
        <color theme="0"/>
      </font>
      <fill>
        <patternFill>
          <bgColor theme="0"/>
        </patternFill>
      </fill>
      <border>
        <left/>
        <right/>
        <top/>
        <bottom/>
        <vertical/>
        <horizontal/>
      </border>
    </dxf>
    <dxf>
      <fill>
        <patternFill>
          <bgColor rgb="FFFF0000"/>
        </patternFill>
      </fill>
    </dxf>
    <dxf>
      <font>
        <b/>
        <i val="0"/>
        <color rgb="FFFFFF00"/>
      </font>
      <fill>
        <patternFill>
          <bgColor rgb="FFC00000"/>
        </patternFill>
      </fill>
    </dxf>
    <dxf>
      <font>
        <b/>
        <i val="0"/>
        <color rgb="FFC00000"/>
      </font>
      <fill>
        <patternFill>
          <bgColor rgb="FFC00000"/>
        </patternFill>
      </fill>
    </dxf>
    <dxf>
      <font>
        <b/>
        <i val="0"/>
        <color rgb="FFC00000"/>
      </font>
      <fill>
        <patternFill>
          <bgColor rgb="FFC00000"/>
        </patternFill>
      </fill>
    </dxf>
    <dxf>
      <fill>
        <patternFill>
          <bgColor rgb="FFFF0000"/>
        </patternFill>
      </fill>
    </dxf>
    <dxf>
      <fill>
        <patternFill>
          <bgColor theme="0" tint="-0.499984740745262"/>
        </patternFill>
      </fill>
    </dxf>
    <dxf>
      <font>
        <b/>
        <i val="0"/>
        <color rgb="FFFFFF00"/>
      </font>
      <fill>
        <patternFill>
          <bgColor rgb="FFFF0000"/>
        </patternFill>
      </fill>
    </dxf>
    <dxf>
      <font>
        <color theme="0" tint="-0.24994659260841701"/>
      </font>
      <fill>
        <patternFill>
          <bgColor theme="0" tint="-0.24994659260841701"/>
        </patternFill>
      </fill>
    </dxf>
    <dxf>
      <font>
        <b/>
        <i val="0"/>
        <color rgb="FFFFFF00"/>
      </font>
      <fill>
        <patternFill>
          <bgColor rgb="FFFF0000"/>
        </patternFill>
      </fill>
    </dxf>
    <dxf>
      <font>
        <color theme="0" tint="-0.24994659260841701"/>
      </font>
      <fill>
        <patternFill>
          <bgColor theme="0" tint="-0.24994659260841701"/>
        </patternFill>
      </fill>
    </dxf>
    <dxf>
      <font>
        <b/>
        <i val="0"/>
        <color rgb="FFC00000"/>
      </font>
      <fill>
        <patternFill>
          <bgColor theme="0" tint="-0.24994659260841701"/>
        </patternFill>
      </fill>
    </dxf>
    <dxf>
      <font>
        <color rgb="FFFFFF00"/>
      </font>
      <fill>
        <patternFill>
          <bgColor rgb="FFFF0000"/>
        </patternFill>
      </fill>
    </dxf>
    <dxf>
      <font>
        <b/>
        <i val="0"/>
        <color rgb="FFC00000"/>
      </font>
      <fill>
        <patternFill>
          <bgColor rgb="FFC00000"/>
        </patternFill>
      </fill>
    </dxf>
    <dxf>
      <font>
        <b/>
        <i val="0"/>
        <condense val="0"/>
        <extend val="0"/>
        <color indexed="21"/>
      </font>
    </dxf>
    <dxf>
      <font>
        <b/>
        <i val="0"/>
        <condense val="0"/>
        <extend val="0"/>
        <color indexed="10"/>
      </font>
    </dxf>
    <dxf>
      <font>
        <b/>
        <i val="0"/>
        <color rgb="FFFFFF00"/>
      </font>
      <fill>
        <patternFill>
          <bgColor rgb="FFFF0000"/>
        </patternFill>
      </fill>
    </dxf>
    <dxf>
      <font>
        <color theme="0" tint="-0.24994659260841701"/>
      </font>
    </dxf>
    <dxf>
      <font>
        <b/>
        <i val="0"/>
        <color theme="0"/>
      </font>
      <fill>
        <patternFill>
          <bgColor theme="0" tint="-0.499984740745262"/>
        </patternFill>
      </fill>
    </dxf>
    <dxf>
      <font>
        <b/>
        <i val="0"/>
        <color theme="0"/>
      </font>
      <fill>
        <patternFill>
          <bgColor theme="0" tint="-0.499984740745262"/>
        </patternFill>
      </fill>
    </dxf>
    <dxf>
      <font>
        <color theme="9" tint="-0.499984740745262"/>
      </font>
    </dxf>
    <dxf>
      <font>
        <b/>
        <i val="0"/>
        <color theme="1"/>
      </font>
      <fill>
        <patternFill>
          <bgColor theme="0"/>
        </patternFill>
      </fill>
    </dxf>
    <dxf>
      <font>
        <b/>
        <i val="0"/>
        <color rgb="FFFFFF00"/>
      </font>
      <fill>
        <patternFill>
          <bgColor rgb="FFC00000"/>
        </patternFill>
      </fill>
    </dxf>
    <dxf>
      <font>
        <b/>
        <i val="0"/>
        <color rgb="FFFFFF00"/>
      </font>
      <fill>
        <patternFill>
          <bgColor rgb="FFC00000"/>
        </patternFill>
      </fill>
    </dxf>
    <dxf>
      <font>
        <b/>
        <i val="0"/>
        <color theme="1" tint="0.24994659260841701"/>
      </font>
      <fill>
        <patternFill>
          <bgColor rgb="FF969696"/>
        </patternFill>
      </fill>
    </dxf>
    <dxf>
      <font>
        <b/>
        <i val="0"/>
        <color rgb="FFFFFF00"/>
      </font>
      <fill>
        <patternFill>
          <bgColor rgb="FFC00000"/>
        </patternFill>
      </fill>
    </dxf>
    <dxf>
      <font>
        <b/>
        <i val="0"/>
        <color rgb="FFC00000"/>
      </font>
      <fill>
        <patternFill>
          <bgColor rgb="FFC00000"/>
        </patternFill>
      </fill>
    </dxf>
    <dxf>
      <font>
        <b/>
        <i val="0"/>
        <color rgb="FFC00000"/>
      </font>
      <fill>
        <patternFill>
          <bgColor rgb="FFC00000"/>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b/>
        <i val="0"/>
        <color theme="0"/>
      </font>
      <fill>
        <patternFill>
          <bgColor theme="0"/>
        </patternFill>
      </fill>
      <border>
        <left/>
        <right/>
        <top/>
        <bottom/>
      </border>
    </dxf>
    <dxf>
      <font>
        <color theme="0"/>
      </font>
      <fill>
        <patternFill>
          <bgColor theme="0"/>
        </patternFill>
      </fill>
      <border>
        <left/>
        <right/>
        <top/>
        <bottom/>
        <vertical/>
        <horizontal/>
      </border>
    </dxf>
    <dxf>
      <font>
        <b/>
        <i val="0"/>
        <color theme="9" tint="-0.499984740745262"/>
      </font>
      <fill>
        <patternFill>
          <bgColor rgb="FFFFFF99"/>
        </patternFill>
      </fill>
    </dxf>
    <dxf>
      <font>
        <b/>
        <i val="0"/>
        <color rgb="FF006666"/>
      </font>
      <fill>
        <patternFill>
          <bgColor theme="6" tint="0.39994506668294322"/>
        </patternFill>
      </fill>
    </dxf>
    <dxf>
      <font>
        <b/>
        <i val="0"/>
        <color rgb="FFFF0000"/>
      </font>
      <fill>
        <patternFill>
          <bgColor rgb="FFFFCCCC"/>
        </patternFill>
      </fill>
    </dxf>
    <dxf>
      <font>
        <b/>
        <i val="0"/>
        <color rgb="FFFFFF00"/>
      </font>
      <fill>
        <patternFill>
          <bgColor rgb="FFFF0000"/>
        </patternFill>
      </fill>
      <border>
        <left style="thin">
          <color auto="1"/>
        </left>
        <right style="thin">
          <color auto="1"/>
        </right>
        <top style="thin">
          <color auto="1"/>
        </top>
        <bottom style="thin">
          <color auto="1"/>
        </bottom>
      </border>
    </dxf>
    <dxf>
      <font>
        <color theme="0"/>
      </font>
      <fill>
        <patternFill>
          <bgColor theme="0"/>
        </patternFill>
      </fill>
      <border>
        <left/>
        <right/>
        <top/>
        <bottom/>
        <vertical/>
        <horizontal/>
      </border>
    </dxf>
    <dxf>
      <fill>
        <patternFill>
          <bgColor rgb="FFFF0000"/>
        </patternFill>
      </fill>
    </dxf>
    <dxf>
      <font>
        <b/>
        <i val="0"/>
        <color rgb="FFFFFF00"/>
      </font>
      <fill>
        <patternFill>
          <bgColor rgb="FFC00000"/>
        </patternFill>
      </fill>
    </dxf>
    <dxf>
      <font>
        <b/>
        <i val="0"/>
        <color rgb="FFC00000"/>
      </font>
      <fill>
        <patternFill>
          <bgColor rgb="FFC00000"/>
        </patternFill>
      </fill>
    </dxf>
    <dxf>
      <font>
        <b/>
        <i val="0"/>
        <color rgb="FFC00000"/>
      </font>
      <fill>
        <patternFill>
          <bgColor rgb="FFC00000"/>
        </patternFill>
      </fill>
    </dxf>
    <dxf>
      <fill>
        <patternFill>
          <bgColor rgb="FFFF0000"/>
        </patternFill>
      </fill>
    </dxf>
    <dxf>
      <fill>
        <patternFill>
          <bgColor theme="0" tint="-0.499984740745262"/>
        </patternFill>
      </fill>
    </dxf>
    <dxf>
      <font>
        <b/>
        <i val="0"/>
        <color rgb="FFFFFF00"/>
      </font>
      <fill>
        <patternFill>
          <bgColor rgb="FFFF0000"/>
        </patternFill>
      </fill>
    </dxf>
    <dxf>
      <font>
        <color theme="0" tint="-0.24994659260841701"/>
      </font>
      <fill>
        <patternFill>
          <bgColor theme="0" tint="-0.24994659260841701"/>
        </patternFill>
      </fill>
    </dxf>
    <dxf>
      <font>
        <b/>
        <i val="0"/>
        <color rgb="FFFFFF00"/>
      </font>
      <fill>
        <patternFill>
          <bgColor rgb="FFFF0000"/>
        </patternFill>
      </fill>
    </dxf>
    <dxf>
      <font>
        <color theme="0" tint="-0.24994659260841701"/>
      </font>
      <fill>
        <patternFill>
          <bgColor theme="0" tint="-0.24994659260841701"/>
        </patternFill>
      </fill>
    </dxf>
    <dxf>
      <font>
        <b/>
        <i val="0"/>
        <color rgb="FFC00000"/>
      </font>
      <fill>
        <patternFill>
          <bgColor theme="0" tint="-0.24994659260841701"/>
        </patternFill>
      </fill>
    </dxf>
    <dxf>
      <font>
        <color rgb="FFFFFF00"/>
      </font>
      <fill>
        <patternFill>
          <bgColor rgb="FFFF0000"/>
        </patternFill>
      </fill>
    </dxf>
    <dxf>
      <font>
        <b/>
        <i val="0"/>
        <color rgb="FFC00000"/>
      </font>
      <fill>
        <patternFill>
          <bgColor rgb="FFC00000"/>
        </patternFill>
      </fill>
    </dxf>
    <dxf>
      <font>
        <b/>
        <i val="0"/>
        <condense val="0"/>
        <extend val="0"/>
        <color indexed="21"/>
      </font>
    </dxf>
    <dxf>
      <font>
        <b/>
        <i val="0"/>
        <condense val="0"/>
        <extend val="0"/>
        <color indexed="10"/>
      </font>
    </dxf>
    <dxf>
      <font>
        <b/>
        <i val="0"/>
        <color rgb="FFFFFF00"/>
      </font>
      <fill>
        <patternFill>
          <bgColor rgb="FFFF0000"/>
        </patternFill>
      </fill>
    </dxf>
    <dxf>
      <font>
        <color theme="0" tint="-0.24994659260841701"/>
      </font>
    </dxf>
    <dxf>
      <font>
        <b/>
        <i val="0"/>
        <color theme="0"/>
      </font>
      <fill>
        <patternFill>
          <bgColor theme="0" tint="-0.499984740745262"/>
        </patternFill>
      </fill>
    </dxf>
    <dxf>
      <font>
        <b/>
        <i val="0"/>
        <color theme="0"/>
      </font>
      <fill>
        <patternFill>
          <bgColor theme="0" tint="-0.499984740745262"/>
        </patternFill>
      </fill>
    </dxf>
    <dxf>
      <font>
        <color theme="9" tint="-0.499984740745262"/>
      </font>
    </dxf>
    <dxf>
      <font>
        <b/>
        <i val="0"/>
        <color theme="1"/>
      </font>
      <fill>
        <patternFill>
          <bgColor theme="0"/>
        </patternFill>
      </fill>
    </dxf>
    <dxf>
      <font>
        <b/>
        <i val="0"/>
        <color rgb="FFFFFF00"/>
      </font>
      <fill>
        <patternFill>
          <bgColor rgb="FFC00000"/>
        </patternFill>
      </fill>
    </dxf>
    <dxf>
      <font>
        <b/>
        <i val="0"/>
        <color rgb="FFFFFF00"/>
      </font>
      <fill>
        <patternFill>
          <bgColor rgb="FFC00000"/>
        </patternFill>
      </fill>
    </dxf>
    <dxf>
      <font>
        <b/>
        <i val="0"/>
        <color theme="1" tint="0.24994659260841701"/>
      </font>
      <fill>
        <patternFill>
          <bgColor rgb="FF969696"/>
        </patternFill>
      </fill>
    </dxf>
    <dxf>
      <font>
        <b/>
        <i val="0"/>
        <color rgb="FFFFFF00"/>
      </font>
      <fill>
        <patternFill>
          <bgColor rgb="FFC00000"/>
        </patternFill>
      </fill>
    </dxf>
    <dxf>
      <font>
        <b/>
        <i val="0"/>
        <color rgb="FFC00000"/>
      </font>
      <fill>
        <patternFill>
          <bgColor rgb="FFC00000"/>
        </patternFill>
      </fill>
    </dxf>
    <dxf>
      <font>
        <b/>
        <i val="0"/>
        <color rgb="FFC00000"/>
      </font>
      <fill>
        <patternFill>
          <bgColor rgb="FFC00000"/>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b/>
        <i val="0"/>
        <color theme="0"/>
      </font>
      <fill>
        <patternFill>
          <bgColor theme="0"/>
        </patternFill>
      </fill>
      <border>
        <left/>
        <right/>
        <top/>
        <bottom/>
      </border>
    </dxf>
    <dxf>
      <font>
        <color theme="0"/>
      </font>
      <fill>
        <patternFill>
          <bgColor theme="0"/>
        </patternFill>
      </fill>
      <border>
        <left/>
        <right/>
        <top/>
        <bottom/>
        <vertical/>
        <horizontal/>
      </border>
    </dxf>
    <dxf>
      <font>
        <b/>
        <i val="0"/>
        <color theme="9" tint="-0.499984740745262"/>
      </font>
      <fill>
        <patternFill>
          <bgColor rgb="FFFFFF99"/>
        </patternFill>
      </fill>
    </dxf>
    <dxf>
      <font>
        <b/>
        <i val="0"/>
        <color rgb="FF006666"/>
      </font>
      <fill>
        <patternFill>
          <bgColor theme="6" tint="0.39994506668294322"/>
        </patternFill>
      </fill>
    </dxf>
    <dxf>
      <font>
        <b/>
        <i val="0"/>
        <color rgb="FFFF0000"/>
      </font>
      <fill>
        <patternFill>
          <bgColor rgb="FFFFCCCC"/>
        </patternFill>
      </fill>
    </dxf>
    <dxf>
      <font>
        <b/>
        <i val="0"/>
        <color rgb="FFFFFF00"/>
      </font>
      <fill>
        <patternFill>
          <bgColor rgb="FFFF0000"/>
        </patternFill>
      </fill>
      <border>
        <left style="thin">
          <color auto="1"/>
        </left>
        <right style="thin">
          <color auto="1"/>
        </right>
        <top style="thin">
          <color auto="1"/>
        </top>
        <bottom style="thin">
          <color auto="1"/>
        </bottom>
      </border>
    </dxf>
    <dxf>
      <font>
        <color theme="0"/>
      </font>
      <fill>
        <patternFill>
          <bgColor theme="0"/>
        </patternFill>
      </fill>
      <border>
        <left/>
        <right/>
        <top/>
        <bottom/>
        <vertical/>
        <horizontal/>
      </border>
    </dxf>
    <dxf>
      <fill>
        <patternFill>
          <bgColor rgb="FFFF0000"/>
        </patternFill>
      </fill>
    </dxf>
    <dxf>
      <font>
        <b/>
        <i val="0"/>
        <color rgb="FFFFFF00"/>
      </font>
      <fill>
        <patternFill>
          <bgColor rgb="FFC00000"/>
        </patternFill>
      </fill>
    </dxf>
    <dxf>
      <font>
        <b/>
        <i val="0"/>
        <color rgb="FFC00000"/>
      </font>
      <fill>
        <patternFill>
          <bgColor rgb="FFC00000"/>
        </patternFill>
      </fill>
    </dxf>
    <dxf>
      <font>
        <b/>
        <i val="0"/>
        <color rgb="FFC00000"/>
      </font>
      <fill>
        <patternFill>
          <bgColor rgb="FFC00000"/>
        </patternFill>
      </fill>
    </dxf>
    <dxf>
      <fill>
        <patternFill>
          <bgColor rgb="FFFF0000"/>
        </patternFill>
      </fill>
    </dxf>
    <dxf>
      <fill>
        <patternFill>
          <bgColor theme="0" tint="-0.499984740745262"/>
        </patternFill>
      </fill>
    </dxf>
    <dxf>
      <font>
        <b/>
        <i val="0"/>
        <color rgb="FFFFFF00"/>
      </font>
      <fill>
        <patternFill>
          <bgColor rgb="FFFF0000"/>
        </patternFill>
      </fill>
    </dxf>
    <dxf>
      <font>
        <color theme="0" tint="-0.24994659260841701"/>
      </font>
      <fill>
        <patternFill>
          <bgColor theme="0" tint="-0.24994659260841701"/>
        </patternFill>
      </fill>
    </dxf>
    <dxf>
      <font>
        <b/>
        <i val="0"/>
        <color rgb="FFFFFF00"/>
      </font>
      <fill>
        <patternFill>
          <bgColor rgb="FFFF0000"/>
        </patternFill>
      </fill>
    </dxf>
    <dxf>
      <font>
        <color theme="0" tint="-0.24994659260841701"/>
      </font>
      <fill>
        <patternFill>
          <bgColor theme="0" tint="-0.24994659260841701"/>
        </patternFill>
      </fill>
    </dxf>
    <dxf>
      <font>
        <b/>
        <i val="0"/>
        <color rgb="FFC00000"/>
      </font>
      <fill>
        <patternFill>
          <bgColor theme="0" tint="-0.24994659260841701"/>
        </patternFill>
      </fill>
    </dxf>
    <dxf>
      <font>
        <color rgb="FFFFFF00"/>
      </font>
      <fill>
        <patternFill>
          <bgColor rgb="FFFF0000"/>
        </patternFill>
      </fill>
    </dxf>
    <dxf>
      <font>
        <b/>
        <i val="0"/>
        <color rgb="FFC00000"/>
      </font>
      <fill>
        <patternFill>
          <bgColor rgb="FFC00000"/>
        </patternFill>
      </fill>
    </dxf>
    <dxf>
      <font>
        <b/>
        <i val="0"/>
        <condense val="0"/>
        <extend val="0"/>
        <color indexed="21"/>
      </font>
    </dxf>
    <dxf>
      <font>
        <b/>
        <i val="0"/>
        <condense val="0"/>
        <extend val="0"/>
        <color indexed="10"/>
      </font>
    </dxf>
    <dxf>
      <font>
        <b/>
        <i val="0"/>
        <color rgb="FFFFFF00"/>
      </font>
      <fill>
        <patternFill>
          <bgColor rgb="FFFF0000"/>
        </patternFill>
      </fill>
    </dxf>
    <dxf>
      <font>
        <color theme="0" tint="-0.24994659260841701"/>
      </font>
    </dxf>
    <dxf>
      <font>
        <b/>
        <i val="0"/>
        <color theme="0"/>
      </font>
      <fill>
        <patternFill>
          <bgColor theme="0" tint="-0.499984740745262"/>
        </patternFill>
      </fill>
    </dxf>
    <dxf>
      <font>
        <b/>
        <i val="0"/>
        <color theme="0"/>
      </font>
      <fill>
        <patternFill>
          <bgColor theme="0" tint="-0.499984740745262"/>
        </patternFill>
      </fill>
    </dxf>
    <dxf>
      <font>
        <color theme="9" tint="-0.499984740745262"/>
      </font>
    </dxf>
    <dxf>
      <font>
        <b/>
        <i val="0"/>
        <color theme="1"/>
      </font>
      <fill>
        <patternFill>
          <bgColor theme="0"/>
        </patternFill>
      </fill>
    </dxf>
    <dxf>
      <font>
        <b/>
        <i val="0"/>
        <color rgb="FFFFFF00"/>
      </font>
      <fill>
        <patternFill>
          <bgColor rgb="FFC00000"/>
        </patternFill>
      </fill>
    </dxf>
    <dxf>
      <font>
        <b/>
        <i val="0"/>
        <color rgb="FFFFFF00"/>
      </font>
      <fill>
        <patternFill>
          <bgColor rgb="FFC00000"/>
        </patternFill>
      </fill>
    </dxf>
    <dxf>
      <font>
        <b/>
        <i val="0"/>
        <color theme="1" tint="0.24994659260841701"/>
      </font>
      <fill>
        <patternFill>
          <bgColor rgb="FF969696"/>
        </patternFill>
      </fill>
    </dxf>
    <dxf>
      <font>
        <b/>
        <i val="0"/>
        <color rgb="FFFFFF00"/>
      </font>
      <fill>
        <patternFill>
          <bgColor rgb="FFC00000"/>
        </patternFill>
      </fill>
    </dxf>
    <dxf>
      <font>
        <b/>
        <i val="0"/>
        <color rgb="FFC00000"/>
      </font>
      <fill>
        <patternFill>
          <bgColor rgb="FFC00000"/>
        </patternFill>
      </fill>
    </dxf>
    <dxf>
      <font>
        <b/>
        <i val="0"/>
        <color rgb="FFC00000"/>
      </font>
      <fill>
        <patternFill>
          <bgColor rgb="FFC00000"/>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b/>
        <i val="0"/>
        <color theme="0"/>
      </font>
      <fill>
        <patternFill>
          <bgColor theme="0"/>
        </patternFill>
      </fill>
      <border>
        <left/>
        <right/>
        <top/>
        <bottom/>
      </border>
    </dxf>
    <dxf>
      <font>
        <color theme="0"/>
      </font>
      <fill>
        <patternFill>
          <bgColor theme="0"/>
        </patternFill>
      </fill>
      <border>
        <left/>
        <right/>
        <top/>
        <bottom/>
        <vertical/>
        <horizontal/>
      </border>
    </dxf>
    <dxf>
      <font>
        <b/>
        <i val="0"/>
        <color theme="9" tint="-0.499984740745262"/>
      </font>
      <fill>
        <patternFill>
          <bgColor rgb="FFFFFF99"/>
        </patternFill>
      </fill>
    </dxf>
    <dxf>
      <font>
        <b/>
        <i val="0"/>
        <color rgb="FF006666"/>
      </font>
      <fill>
        <patternFill>
          <bgColor theme="6" tint="0.39994506668294322"/>
        </patternFill>
      </fill>
    </dxf>
    <dxf>
      <font>
        <b/>
        <i val="0"/>
        <color rgb="FFFF0000"/>
      </font>
      <fill>
        <patternFill>
          <bgColor rgb="FFFFCCCC"/>
        </patternFill>
      </fill>
    </dxf>
    <dxf>
      <font>
        <b/>
        <i val="0"/>
        <color rgb="FFFFFF00"/>
      </font>
      <fill>
        <patternFill>
          <bgColor rgb="FFFF0000"/>
        </patternFill>
      </fill>
      <border>
        <left style="thin">
          <color auto="1"/>
        </left>
        <right style="thin">
          <color auto="1"/>
        </right>
        <top style="thin">
          <color auto="1"/>
        </top>
        <bottom style="thin">
          <color auto="1"/>
        </bottom>
      </border>
    </dxf>
    <dxf>
      <font>
        <color theme="0"/>
      </font>
      <fill>
        <patternFill>
          <bgColor theme="0"/>
        </patternFill>
      </fill>
      <border>
        <left/>
        <right/>
        <top/>
        <bottom/>
        <vertical/>
        <horizontal/>
      </border>
    </dxf>
    <dxf>
      <fill>
        <patternFill>
          <bgColor rgb="FFFF0000"/>
        </patternFill>
      </fill>
    </dxf>
    <dxf>
      <font>
        <b/>
        <i val="0"/>
        <color rgb="FFFFFF00"/>
      </font>
      <fill>
        <patternFill>
          <bgColor rgb="FFC00000"/>
        </patternFill>
      </fill>
    </dxf>
    <dxf>
      <font>
        <b/>
        <i val="0"/>
        <color rgb="FFC00000"/>
      </font>
      <fill>
        <patternFill>
          <bgColor rgb="FFC00000"/>
        </patternFill>
      </fill>
    </dxf>
    <dxf>
      <font>
        <b/>
        <i val="0"/>
        <color rgb="FFC00000"/>
      </font>
      <fill>
        <patternFill>
          <bgColor rgb="FFC00000"/>
        </patternFill>
      </fill>
    </dxf>
    <dxf>
      <fill>
        <patternFill>
          <bgColor rgb="FFFF0000"/>
        </patternFill>
      </fill>
    </dxf>
    <dxf>
      <fill>
        <patternFill>
          <bgColor theme="0" tint="-0.499984740745262"/>
        </patternFill>
      </fill>
    </dxf>
    <dxf>
      <font>
        <b/>
        <i val="0"/>
        <color rgb="FFFFFF00"/>
      </font>
      <fill>
        <patternFill>
          <bgColor rgb="FFFF0000"/>
        </patternFill>
      </fill>
    </dxf>
    <dxf>
      <font>
        <color theme="0" tint="-0.24994659260841701"/>
      </font>
      <fill>
        <patternFill>
          <bgColor theme="0" tint="-0.24994659260841701"/>
        </patternFill>
      </fill>
    </dxf>
    <dxf>
      <font>
        <b/>
        <i val="0"/>
        <color rgb="FFFFFF00"/>
      </font>
      <fill>
        <patternFill>
          <bgColor rgb="FFFF0000"/>
        </patternFill>
      </fill>
    </dxf>
    <dxf>
      <font>
        <color theme="0" tint="-0.24994659260841701"/>
      </font>
      <fill>
        <patternFill>
          <bgColor theme="0" tint="-0.24994659260841701"/>
        </patternFill>
      </fill>
    </dxf>
    <dxf>
      <font>
        <b/>
        <i val="0"/>
        <color rgb="FFC00000"/>
      </font>
      <fill>
        <patternFill>
          <bgColor theme="0" tint="-0.24994659260841701"/>
        </patternFill>
      </fill>
    </dxf>
    <dxf>
      <font>
        <color rgb="FFFFFF00"/>
      </font>
      <fill>
        <patternFill>
          <bgColor rgb="FFFF0000"/>
        </patternFill>
      </fill>
    </dxf>
    <dxf>
      <font>
        <b/>
        <i val="0"/>
        <color rgb="FFC00000"/>
      </font>
      <fill>
        <patternFill>
          <bgColor rgb="FFC00000"/>
        </patternFill>
      </fill>
    </dxf>
    <dxf>
      <font>
        <b/>
        <i val="0"/>
        <condense val="0"/>
        <extend val="0"/>
        <color indexed="21"/>
      </font>
    </dxf>
    <dxf>
      <font>
        <b/>
        <i val="0"/>
        <condense val="0"/>
        <extend val="0"/>
        <color indexed="10"/>
      </font>
    </dxf>
    <dxf>
      <font>
        <b/>
        <i val="0"/>
        <color rgb="FFFFFF00"/>
      </font>
      <fill>
        <patternFill>
          <bgColor rgb="FFFF0000"/>
        </patternFill>
      </fill>
    </dxf>
    <dxf>
      <font>
        <color theme="0" tint="-0.24994659260841701"/>
      </font>
    </dxf>
    <dxf>
      <font>
        <b/>
        <i val="0"/>
        <color theme="0"/>
      </font>
      <fill>
        <patternFill>
          <bgColor theme="0" tint="-0.499984740745262"/>
        </patternFill>
      </fill>
    </dxf>
    <dxf>
      <font>
        <b/>
        <i val="0"/>
        <color theme="0"/>
      </font>
      <fill>
        <patternFill>
          <bgColor theme="0" tint="-0.499984740745262"/>
        </patternFill>
      </fill>
    </dxf>
    <dxf>
      <font>
        <color theme="9" tint="-0.499984740745262"/>
      </font>
    </dxf>
    <dxf>
      <font>
        <b/>
        <i val="0"/>
        <color rgb="FFFFFF00"/>
      </font>
      <fill>
        <patternFill>
          <bgColor rgb="FFC00000"/>
        </patternFill>
      </fill>
    </dxf>
    <dxf>
      <font>
        <b/>
        <i val="0"/>
        <color rgb="FFFFFF00"/>
      </font>
      <fill>
        <patternFill>
          <bgColor rgb="FFC00000"/>
        </patternFill>
      </fill>
    </dxf>
    <dxf>
      <font>
        <b/>
        <i val="0"/>
        <color theme="1"/>
      </font>
      <fill>
        <patternFill>
          <bgColor theme="0"/>
        </patternFill>
      </fill>
    </dxf>
    <dxf>
      <font>
        <b/>
        <i val="0"/>
        <color theme="1" tint="0.24994659260841701"/>
      </font>
      <fill>
        <patternFill>
          <bgColor rgb="FF969696"/>
        </patternFill>
      </fill>
    </dxf>
    <dxf>
      <font>
        <b/>
        <i val="0"/>
        <color rgb="FFFFFF00"/>
      </font>
      <fill>
        <patternFill>
          <bgColor rgb="FFC00000"/>
        </patternFill>
      </fill>
    </dxf>
    <dxf>
      <font>
        <b/>
        <i val="0"/>
        <color rgb="FFC00000"/>
      </font>
      <fill>
        <patternFill>
          <bgColor rgb="FFC00000"/>
        </patternFill>
      </fill>
    </dxf>
    <dxf>
      <font>
        <b/>
        <i val="0"/>
        <color rgb="FFC00000"/>
      </font>
      <fill>
        <patternFill>
          <bgColor rgb="FFC00000"/>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b/>
        <i val="0"/>
        <color theme="0"/>
      </font>
      <fill>
        <patternFill>
          <bgColor theme="0"/>
        </patternFill>
      </fill>
      <border>
        <left/>
        <right/>
        <top/>
        <bottom/>
      </border>
    </dxf>
    <dxf>
      <font>
        <color theme="0"/>
      </font>
      <fill>
        <patternFill>
          <bgColor theme="0"/>
        </patternFill>
      </fill>
      <border>
        <left/>
        <right/>
        <top/>
        <bottom/>
        <vertical/>
        <horizontal/>
      </border>
    </dxf>
    <dxf>
      <font>
        <b/>
        <i val="0"/>
        <color theme="9" tint="-0.499984740745262"/>
      </font>
      <fill>
        <patternFill>
          <bgColor rgb="FFFFFF99"/>
        </patternFill>
      </fill>
    </dxf>
    <dxf>
      <font>
        <b/>
        <i val="0"/>
        <color rgb="FF006666"/>
      </font>
      <fill>
        <patternFill>
          <bgColor theme="6" tint="0.39994506668294322"/>
        </patternFill>
      </fill>
    </dxf>
    <dxf>
      <font>
        <b/>
        <i val="0"/>
        <color rgb="FFFF0000"/>
      </font>
      <fill>
        <patternFill>
          <bgColor rgb="FFFFCCCC"/>
        </patternFill>
      </fill>
    </dxf>
    <dxf>
      <font>
        <b/>
        <i val="0"/>
        <color rgb="FFFFFF00"/>
      </font>
      <fill>
        <patternFill>
          <bgColor rgb="FFFF0000"/>
        </patternFill>
      </fill>
      <border>
        <left style="thin">
          <color auto="1"/>
        </left>
        <right style="thin">
          <color auto="1"/>
        </right>
        <top style="thin">
          <color auto="1"/>
        </top>
        <bottom style="thin">
          <color auto="1"/>
        </bottom>
      </border>
    </dxf>
    <dxf>
      <font>
        <color theme="0"/>
      </font>
      <fill>
        <patternFill>
          <bgColor theme="0"/>
        </patternFill>
      </fill>
      <border>
        <left/>
        <right/>
        <top/>
        <bottom/>
        <vertical/>
        <horizontal/>
      </border>
    </dxf>
    <dxf>
      <fill>
        <patternFill>
          <bgColor rgb="FFFF0000"/>
        </patternFill>
      </fill>
    </dxf>
    <dxf>
      <font>
        <b/>
        <i val="0"/>
        <color rgb="FFFFFF00"/>
      </font>
      <fill>
        <patternFill>
          <bgColor rgb="FFC00000"/>
        </patternFill>
      </fill>
    </dxf>
    <dxf>
      <font>
        <b/>
        <i val="0"/>
        <color rgb="FFC00000"/>
      </font>
      <fill>
        <patternFill>
          <bgColor rgb="FFC00000"/>
        </patternFill>
      </fill>
    </dxf>
    <dxf>
      <font>
        <b/>
        <i val="0"/>
        <color rgb="FFC00000"/>
      </font>
      <fill>
        <patternFill>
          <bgColor rgb="FFC00000"/>
        </patternFill>
      </fill>
    </dxf>
    <dxf>
      <fill>
        <patternFill>
          <bgColor rgb="FFFF0000"/>
        </patternFill>
      </fill>
    </dxf>
    <dxf>
      <fill>
        <patternFill>
          <bgColor theme="0" tint="-0.499984740745262"/>
        </patternFill>
      </fill>
    </dxf>
    <dxf>
      <font>
        <b/>
        <i val="0"/>
        <color rgb="FFFFFF00"/>
      </font>
      <fill>
        <patternFill>
          <bgColor rgb="FFFF0000"/>
        </patternFill>
      </fill>
    </dxf>
    <dxf>
      <font>
        <color theme="0" tint="-0.24994659260841701"/>
      </font>
      <fill>
        <patternFill>
          <bgColor theme="0" tint="-0.24994659260841701"/>
        </patternFill>
      </fill>
    </dxf>
    <dxf>
      <font>
        <b/>
        <i val="0"/>
        <color rgb="FFFFFF00"/>
      </font>
      <fill>
        <patternFill>
          <bgColor rgb="FFFF0000"/>
        </patternFill>
      </fill>
    </dxf>
    <dxf>
      <font>
        <color theme="0" tint="-0.24994659260841701"/>
      </font>
      <fill>
        <patternFill>
          <bgColor theme="0" tint="-0.24994659260841701"/>
        </patternFill>
      </fill>
    </dxf>
    <dxf>
      <font>
        <b/>
        <i val="0"/>
        <color rgb="FFC00000"/>
      </font>
      <fill>
        <patternFill>
          <bgColor theme="0" tint="-0.24994659260841701"/>
        </patternFill>
      </fill>
    </dxf>
    <dxf>
      <font>
        <color rgb="FFFFFF00"/>
      </font>
      <fill>
        <patternFill>
          <bgColor rgb="FFFF0000"/>
        </patternFill>
      </fill>
    </dxf>
    <dxf>
      <font>
        <b/>
        <i val="0"/>
        <color rgb="FFC00000"/>
      </font>
      <fill>
        <patternFill>
          <bgColor rgb="FFC00000"/>
        </patternFill>
      </fill>
    </dxf>
    <dxf>
      <font>
        <b/>
        <i val="0"/>
        <condense val="0"/>
        <extend val="0"/>
        <color indexed="21"/>
      </font>
    </dxf>
    <dxf>
      <font>
        <b/>
        <i val="0"/>
        <condense val="0"/>
        <extend val="0"/>
        <color indexed="10"/>
      </font>
    </dxf>
    <dxf>
      <font>
        <b/>
        <i val="0"/>
        <color rgb="FFFFFF00"/>
      </font>
      <fill>
        <patternFill>
          <bgColor rgb="FFFF0000"/>
        </patternFill>
      </fill>
    </dxf>
    <dxf>
      <font>
        <color theme="0" tint="-0.24994659260841701"/>
      </font>
    </dxf>
    <dxf>
      <font>
        <b/>
        <i val="0"/>
        <color theme="0"/>
      </font>
      <fill>
        <patternFill>
          <bgColor theme="0" tint="-0.499984740745262"/>
        </patternFill>
      </fill>
    </dxf>
    <dxf>
      <font>
        <b/>
        <i val="0"/>
        <color theme="0"/>
      </font>
      <fill>
        <patternFill>
          <bgColor theme="0" tint="-0.499984740745262"/>
        </patternFill>
      </fill>
    </dxf>
    <dxf>
      <font>
        <color theme="9" tint="-0.499984740745262"/>
      </font>
    </dxf>
    <dxf>
      <font>
        <b/>
        <i val="0"/>
        <color theme="1"/>
      </font>
      <fill>
        <patternFill>
          <bgColor theme="0"/>
        </patternFill>
      </fill>
    </dxf>
    <dxf>
      <font>
        <b/>
        <i val="0"/>
        <color rgb="FFFFFF00"/>
      </font>
      <fill>
        <patternFill>
          <bgColor rgb="FFC00000"/>
        </patternFill>
      </fill>
    </dxf>
    <dxf>
      <font>
        <b/>
        <i val="0"/>
        <color rgb="FFFFFF00"/>
      </font>
      <fill>
        <patternFill>
          <bgColor rgb="FFC00000"/>
        </patternFill>
      </fill>
    </dxf>
    <dxf>
      <font>
        <b/>
        <i val="0"/>
        <color theme="1" tint="0.24994659260841701"/>
      </font>
      <fill>
        <patternFill>
          <bgColor rgb="FF969696"/>
        </patternFill>
      </fill>
    </dxf>
    <dxf>
      <font>
        <b/>
        <i val="0"/>
        <color rgb="FFFFFF00"/>
      </font>
      <fill>
        <patternFill>
          <bgColor rgb="FFC00000"/>
        </patternFill>
      </fill>
    </dxf>
    <dxf>
      <font>
        <b/>
        <i val="0"/>
        <color rgb="FFC00000"/>
      </font>
      <fill>
        <patternFill>
          <bgColor rgb="FFC00000"/>
        </patternFill>
      </fill>
    </dxf>
    <dxf>
      <font>
        <b/>
        <i val="0"/>
        <color rgb="FFC00000"/>
      </font>
      <fill>
        <patternFill>
          <bgColor rgb="FFC00000"/>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b/>
        <i val="0"/>
        <color theme="0"/>
      </font>
      <fill>
        <patternFill>
          <bgColor theme="0"/>
        </patternFill>
      </fill>
      <border>
        <left/>
        <right/>
        <top/>
        <bottom/>
      </border>
    </dxf>
    <dxf>
      <font>
        <color theme="0"/>
      </font>
      <fill>
        <patternFill>
          <bgColor theme="0"/>
        </patternFill>
      </fill>
      <border>
        <left/>
        <right/>
        <top/>
        <bottom/>
        <vertical/>
        <horizontal/>
      </border>
    </dxf>
    <dxf>
      <font>
        <b/>
        <i val="0"/>
        <color theme="9" tint="-0.499984740745262"/>
      </font>
      <fill>
        <patternFill>
          <bgColor rgb="FFFFFF99"/>
        </patternFill>
      </fill>
    </dxf>
    <dxf>
      <font>
        <b/>
        <i val="0"/>
        <color rgb="FF006666"/>
      </font>
      <fill>
        <patternFill>
          <bgColor theme="6" tint="0.39994506668294322"/>
        </patternFill>
      </fill>
    </dxf>
    <dxf>
      <font>
        <b/>
        <i val="0"/>
        <color rgb="FFFF0000"/>
      </font>
      <fill>
        <patternFill>
          <bgColor rgb="FFFFCCCC"/>
        </patternFill>
      </fill>
    </dxf>
    <dxf>
      <font>
        <b/>
        <i val="0"/>
        <color rgb="FFFFFF00"/>
      </font>
      <fill>
        <patternFill>
          <bgColor rgb="FFFF0000"/>
        </patternFill>
      </fill>
      <border>
        <left style="thin">
          <color auto="1"/>
        </left>
        <right style="thin">
          <color auto="1"/>
        </right>
        <top style="thin">
          <color auto="1"/>
        </top>
        <bottom style="thin">
          <color auto="1"/>
        </bottom>
      </border>
    </dxf>
    <dxf>
      <font>
        <color theme="0"/>
      </font>
      <fill>
        <patternFill>
          <bgColor theme="0"/>
        </patternFill>
      </fill>
      <border>
        <left/>
        <right/>
        <top/>
        <bottom/>
        <vertical/>
        <horizontal/>
      </border>
    </dxf>
    <dxf>
      <fill>
        <patternFill>
          <bgColor rgb="FFFF0000"/>
        </patternFill>
      </fill>
    </dxf>
    <dxf>
      <font>
        <b/>
        <i val="0"/>
        <color rgb="FFFFFF00"/>
      </font>
      <fill>
        <patternFill>
          <bgColor rgb="FFC00000"/>
        </patternFill>
      </fill>
    </dxf>
    <dxf>
      <font>
        <b/>
        <i val="0"/>
        <color rgb="FFC00000"/>
      </font>
      <fill>
        <patternFill>
          <bgColor rgb="FFC00000"/>
        </patternFill>
      </fill>
    </dxf>
    <dxf>
      <font>
        <b/>
        <i val="0"/>
        <color rgb="FFC00000"/>
      </font>
      <fill>
        <patternFill>
          <bgColor rgb="FFC00000"/>
        </patternFill>
      </fill>
    </dxf>
    <dxf>
      <fill>
        <patternFill>
          <bgColor rgb="FFFF0000"/>
        </patternFill>
      </fill>
    </dxf>
    <dxf>
      <fill>
        <patternFill>
          <bgColor theme="0" tint="-0.499984740745262"/>
        </patternFill>
      </fill>
    </dxf>
    <dxf>
      <font>
        <b/>
        <i val="0"/>
        <color rgb="FFFFFF00"/>
      </font>
      <fill>
        <patternFill>
          <bgColor rgb="FFFF0000"/>
        </patternFill>
      </fill>
    </dxf>
    <dxf>
      <font>
        <color theme="0" tint="-0.24994659260841701"/>
      </font>
      <fill>
        <patternFill>
          <bgColor theme="0" tint="-0.24994659260841701"/>
        </patternFill>
      </fill>
    </dxf>
    <dxf>
      <font>
        <b/>
        <i val="0"/>
        <color rgb="FFFFFF00"/>
      </font>
      <fill>
        <patternFill>
          <bgColor rgb="FFFF0000"/>
        </patternFill>
      </fill>
    </dxf>
    <dxf>
      <font>
        <color theme="0" tint="-0.24994659260841701"/>
      </font>
      <fill>
        <patternFill>
          <bgColor theme="0" tint="-0.24994659260841701"/>
        </patternFill>
      </fill>
    </dxf>
    <dxf>
      <font>
        <b/>
        <i val="0"/>
        <color rgb="FFC00000"/>
      </font>
      <fill>
        <patternFill>
          <bgColor theme="0" tint="-0.24994659260841701"/>
        </patternFill>
      </fill>
    </dxf>
    <dxf>
      <font>
        <color rgb="FFFFFF00"/>
      </font>
      <fill>
        <patternFill>
          <bgColor rgb="FFFF0000"/>
        </patternFill>
      </fill>
    </dxf>
    <dxf>
      <font>
        <b/>
        <i val="0"/>
        <color rgb="FFC00000"/>
      </font>
      <fill>
        <patternFill>
          <bgColor rgb="FFC00000"/>
        </patternFill>
      </fill>
    </dxf>
    <dxf>
      <font>
        <b/>
        <i val="0"/>
        <condense val="0"/>
        <extend val="0"/>
        <color indexed="21"/>
      </font>
    </dxf>
    <dxf>
      <font>
        <b/>
        <i val="0"/>
        <condense val="0"/>
        <extend val="0"/>
        <color indexed="10"/>
      </font>
    </dxf>
    <dxf>
      <font>
        <b/>
        <i val="0"/>
        <color rgb="FFFFFF00"/>
      </font>
      <fill>
        <patternFill>
          <bgColor rgb="FFFF0000"/>
        </patternFill>
      </fill>
    </dxf>
    <dxf>
      <font>
        <color theme="0" tint="-0.24994659260841701"/>
      </font>
    </dxf>
    <dxf>
      <font>
        <b/>
        <i val="0"/>
        <color theme="0"/>
      </font>
      <fill>
        <patternFill>
          <bgColor theme="0" tint="-0.499984740745262"/>
        </patternFill>
      </fill>
    </dxf>
    <dxf>
      <font>
        <b/>
        <i val="0"/>
        <color theme="0"/>
      </font>
      <fill>
        <patternFill>
          <bgColor theme="0" tint="-0.499984740745262"/>
        </patternFill>
      </fill>
    </dxf>
    <dxf>
      <font>
        <color theme="9" tint="-0.499984740745262"/>
      </font>
    </dxf>
    <dxf>
      <font>
        <b/>
        <i val="0"/>
        <color theme="1"/>
      </font>
      <fill>
        <patternFill>
          <bgColor theme="0"/>
        </patternFill>
      </fill>
    </dxf>
    <dxf>
      <font>
        <b/>
        <i val="0"/>
        <color rgb="FFFFFF00"/>
      </font>
      <fill>
        <patternFill>
          <bgColor rgb="FFC00000"/>
        </patternFill>
      </fill>
    </dxf>
    <dxf>
      <font>
        <b/>
        <i val="0"/>
        <color rgb="FFFFFF00"/>
      </font>
      <fill>
        <patternFill>
          <bgColor rgb="FFC00000"/>
        </patternFill>
      </fill>
    </dxf>
    <dxf>
      <font>
        <b/>
        <i val="0"/>
        <color theme="1" tint="0.24994659260841701"/>
      </font>
      <fill>
        <patternFill>
          <bgColor rgb="FF969696"/>
        </patternFill>
      </fill>
    </dxf>
    <dxf>
      <font>
        <b/>
        <i val="0"/>
        <color rgb="FFFFFF00"/>
      </font>
      <fill>
        <patternFill>
          <bgColor rgb="FFC00000"/>
        </patternFill>
      </fill>
    </dxf>
    <dxf>
      <font>
        <b/>
        <i val="0"/>
        <color rgb="FFC00000"/>
      </font>
      <fill>
        <patternFill>
          <bgColor rgb="FFC00000"/>
        </patternFill>
      </fill>
    </dxf>
    <dxf>
      <font>
        <b/>
        <i val="0"/>
        <color rgb="FFC00000"/>
      </font>
      <fill>
        <patternFill>
          <bgColor rgb="FFC00000"/>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b/>
        <i val="0"/>
        <color theme="0"/>
      </font>
      <fill>
        <patternFill>
          <bgColor theme="0"/>
        </patternFill>
      </fill>
      <border>
        <left/>
        <right/>
        <top/>
        <bottom/>
      </border>
    </dxf>
    <dxf>
      <font>
        <color theme="0"/>
      </font>
      <fill>
        <patternFill>
          <bgColor theme="0"/>
        </patternFill>
      </fill>
      <border>
        <left/>
        <right/>
        <top/>
        <bottom/>
        <vertical/>
        <horizontal/>
      </border>
    </dxf>
    <dxf>
      <font>
        <b/>
        <i val="0"/>
        <color theme="9" tint="-0.499984740745262"/>
      </font>
      <fill>
        <patternFill>
          <bgColor rgb="FFFFFF99"/>
        </patternFill>
      </fill>
    </dxf>
    <dxf>
      <font>
        <b/>
        <i val="0"/>
        <color rgb="FF006666"/>
      </font>
      <fill>
        <patternFill>
          <bgColor theme="6" tint="0.39994506668294322"/>
        </patternFill>
      </fill>
    </dxf>
    <dxf>
      <font>
        <b/>
        <i val="0"/>
        <color rgb="FFFF0000"/>
      </font>
      <fill>
        <patternFill>
          <bgColor rgb="FFFFCCCC"/>
        </patternFill>
      </fill>
    </dxf>
    <dxf>
      <font>
        <b/>
        <i val="0"/>
        <color rgb="FFFFFF00"/>
      </font>
      <fill>
        <patternFill>
          <bgColor rgb="FFFF0000"/>
        </patternFill>
      </fill>
      <border>
        <left style="thin">
          <color auto="1"/>
        </left>
        <right style="thin">
          <color auto="1"/>
        </right>
        <top style="thin">
          <color auto="1"/>
        </top>
        <bottom style="thin">
          <color auto="1"/>
        </bottom>
      </border>
    </dxf>
    <dxf>
      <font>
        <color theme="0"/>
      </font>
      <fill>
        <patternFill>
          <bgColor theme="0"/>
        </patternFill>
      </fill>
      <border>
        <left/>
        <right/>
        <top/>
        <bottom/>
        <vertical/>
        <horizontal/>
      </border>
    </dxf>
    <dxf>
      <fill>
        <patternFill>
          <bgColor rgb="FFFF0000"/>
        </patternFill>
      </fill>
    </dxf>
    <dxf>
      <font>
        <b/>
        <i val="0"/>
        <color rgb="FFFFFF00"/>
      </font>
      <fill>
        <patternFill>
          <bgColor rgb="FFC00000"/>
        </patternFill>
      </fill>
    </dxf>
    <dxf>
      <font>
        <b/>
        <i val="0"/>
        <color rgb="FFC00000"/>
      </font>
      <fill>
        <patternFill>
          <bgColor rgb="FFC00000"/>
        </patternFill>
      </fill>
    </dxf>
    <dxf>
      <font>
        <b/>
        <i val="0"/>
        <color rgb="FFC00000"/>
      </font>
      <fill>
        <patternFill>
          <bgColor rgb="FFC00000"/>
        </patternFill>
      </fill>
    </dxf>
    <dxf>
      <fill>
        <patternFill>
          <bgColor rgb="FFFF0000"/>
        </patternFill>
      </fill>
    </dxf>
    <dxf>
      <fill>
        <patternFill>
          <bgColor theme="0" tint="-0.499984740745262"/>
        </patternFill>
      </fill>
    </dxf>
    <dxf>
      <font>
        <b/>
        <i val="0"/>
        <color rgb="FFFFFF00"/>
      </font>
      <fill>
        <patternFill>
          <bgColor rgb="FFFF0000"/>
        </patternFill>
      </fill>
    </dxf>
    <dxf>
      <font>
        <color theme="0" tint="-0.24994659260841701"/>
      </font>
      <fill>
        <patternFill>
          <bgColor theme="0" tint="-0.24994659260841701"/>
        </patternFill>
      </fill>
    </dxf>
    <dxf>
      <font>
        <b/>
        <i val="0"/>
        <color rgb="FFFFFF00"/>
      </font>
      <fill>
        <patternFill>
          <bgColor rgb="FFFF0000"/>
        </patternFill>
      </fill>
    </dxf>
    <dxf>
      <font>
        <color theme="0" tint="-0.24994659260841701"/>
      </font>
      <fill>
        <patternFill>
          <bgColor theme="0" tint="-0.24994659260841701"/>
        </patternFill>
      </fill>
    </dxf>
    <dxf>
      <font>
        <b/>
        <i val="0"/>
        <color rgb="FFC00000"/>
      </font>
      <fill>
        <patternFill>
          <bgColor theme="0" tint="-0.24994659260841701"/>
        </patternFill>
      </fill>
    </dxf>
    <dxf>
      <font>
        <color rgb="FFFFFF00"/>
      </font>
      <fill>
        <patternFill>
          <bgColor rgb="FFFF0000"/>
        </patternFill>
      </fill>
    </dxf>
    <dxf>
      <font>
        <b/>
        <i val="0"/>
        <color rgb="FFC00000"/>
      </font>
      <fill>
        <patternFill>
          <bgColor rgb="FFC00000"/>
        </patternFill>
      </fill>
    </dxf>
    <dxf>
      <font>
        <b/>
        <i val="0"/>
        <condense val="0"/>
        <extend val="0"/>
        <color indexed="21"/>
      </font>
    </dxf>
    <dxf>
      <font>
        <b/>
        <i val="0"/>
        <condense val="0"/>
        <extend val="0"/>
        <color indexed="10"/>
      </font>
    </dxf>
    <dxf>
      <font>
        <b/>
        <i val="0"/>
        <color rgb="FFFFFF00"/>
      </font>
      <fill>
        <patternFill>
          <bgColor rgb="FFFF0000"/>
        </patternFill>
      </fill>
    </dxf>
    <dxf>
      <font>
        <color theme="0" tint="-0.24994659260841701"/>
      </font>
    </dxf>
    <dxf>
      <font>
        <b/>
        <i val="0"/>
        <color theme="0"/>
      </font>
      <fill>
        <patternFill>
          <bgColor theme="0" tint="-0.499984740745262"/>
        </patternFill>
      </fill>
    </dxf>
    <dxf>
      <font>
        <b/>
        <i val="0"/>
        <color theme="0"/>
      </font>
      <fill>
        <patternFill>
          <bgColor theme="0" tint="-0.499984740745262"/>
        </patternFill>
      </fill>
    </dxf>
    <dxf>
      <font>
        <color theme="9" tint="-0.499984740745262"/>
      </font>
    </dxf>
    <dxf>
      <font>
        <b/>
        <i val="0"/>
        <color theme="1"/>
      </font>
      <fill>
        <patternFill>
          <bgColor theme="0"/>
        </patternFill>
      </fill>
    </dxf>
    <dxf>
      <font>
        <b/>
        <i val="0"/>
        <color rgb="FFFFFF00"/>
      </font>
      <fill>
        <patternFill>
          <bgColor rgb="FFC00000"/>
        </patternFill>
      </fill>
    </dxf>
    <dxf>
      <font>
        <b/>
        <i val="0"/>
        <color rgb="FFFFFF00"/>
      </font>
      <fill>
        <patternFill>
          <bgColor rgb="FFC00000"/>
        </patternFill>
      </fill>
    </dxf>
    <dxf>
      <font>
        <b/>
        <i val="0"/>
        <color theme="1" tint="0.24994659260841701"/>
      </font>
      <fill>
        <patternFill>
          <bgColor rgb="FF969696"/>
        </patternFill>
      </fill>
    </dxf>
    <dxf>
      <font>
        <b/>
        <i val="0"/>
        <color rgb="FFFFFF00"/>
      </font>
      <fill>
        <patternFill>
          <bgColor rgb="FFC00000"/>
        </patternFill>
      </fill>
    </dxf>
    <dxf>
      <font>
        <b/>
        <i val="0"/>
        <color rgb="FFC00000"/>
      </font>
      <fill>
        <patternFill>
          <bgColor rgb="FFC00000"/>
        </patternFill>
      </fill>
    </dxf>
    <dxf>
      <font>
        <b/>
        <i val="0"/>
        <color rgb="FFC00000"/>
      </font>
      <fill>
        <patternFill>
          <bgColor rgb="FFC00000"/>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b/>
        <i val="0"/>
        <color theme="0"/>
      </font>
      <fill>
        <patternFill>
          <bgColor theme="0"/>
        </patternFill>
      </fill>
      <border>
        <left/>
        <right/>
        <top/>
        <bottom/>
      </border>
    </dxf>
    <dxf>
      <font>
        <color theme="0"/>
      </font>
      <fill>
        <patternFill>
          <bgColor theme="0"/>
        </patternFill>
      </fill>
      <border>
        <left/>
        <right/>
        <top/>
        <bottom/>
        <vertical/>
        <horizontal/>
      </border>
    </dxf>
    <dxf>
      <font>
        <b/>
        <i val="0"/>
        <color theme="9" tint="-0.499984740745262"/>
      </font>
      <fill>
        <patternFill>
          <bgColor rgb="FFFFFF99"/>
        </patternFill>
      </fill>
    </dxf>
    <dxf>
      <font>
        <b/>
        <i val="0"/>
        <color rgb="FF006666"/>
      </font>
      <fill>
        <patternFill>
          <bgColor theme="6" tint="0.39994506668294322"/>
        </patternFill>
      </fill>
    </dxf>
    <dxf>
      <font>
        <b/>
        <i val="0"/>
        <color rgb="FFFF0000"/>
      </font>
      <fill>
        <patternFill>
          <bgColor rgb="FFFFCCCC"/>
        </patternFill>
      </fill>
    </dxf>
    <dxf>
      <font>
        <b/>
        <i val="0"/>
        <color rgb="FFFFFF00"/>
      </font>
      <fill>
        <patternFill>
          <bgColor rgb="FFFF0000"/>
        </patternFill>
      </fill>
      <border>
        <left style="thin">
          <color auto="1"/>
        </left>
        <right style="thin">
          <color auto="1"/>
        </right>
        <top style="thin">
          <color auto="1"/>
        </top>
        <bottom style="thin">
          <color auto="1"/>
        </bottom>
      </border>
    </dxf>
    <dxf>
      <font>
        <color theme="0"/>
      </font>
      <fill>
        <patternFill>
          <bgColor theme="0"/>
        </patternFill>
      </fill>
      <border>
        <left/>
        <right/>
        <top/>
        <bottom/>
        <vertical/>
        <horizontal/>
      </border>
    </dxf>
    <dxf>
      <fill>
        <patternFill>
          <bgColor rgb="FFFF0000"/>
        </patternFill>
      </fill>
    </dxf>
    <dxf>
      <font>
        <b/>
        <i val="0"/>
        <color rgb="FFFFFF00"/>
      </font>
      <fill>
        <patternFill>
          <bgColor rgb="FFC00000"/>
        </patternFill>
      </fill>
    </dxf>
    <dxf>
      <font>
        <b/>
        <i val="0"/>
        <color rgb="FFC00000"/>
      </font>
      <fill>
        <patternFill>
          <bgColor rgb="FFC00000"/>
        </patternFill>
      </fill>
    </dxf>
    <dxf>
      <font>
        <b/>
        <i val="0"/>
        <color rgb="FFC00000"/>
      </font>
      <fill>
        <patternFill>
          <bgColor rgb="FFC00000"/>
        </patternFill>
      </fill>
    </dxf>
    <dxf>
      <fill>
        <patternFill>
          <bgColor rgb="FFFF0000"/>
        </patternFill>
      </fill>
    </dxf>
    <dxf>
      <fill>
        <patternFill>
          <bgColor theme="0" tint="-0.499984740745262"/>
        </patternFill>
      </fill>
    </dxf>
    <dxf>
      <font>
        <b/>
        <i val="0"/>
        <color rgb="FFFFFF00"/>
      </font>
      <fill>
        <patternFill>
          <bgColor rgb="FFFF0000"/>
        </patternFill>
      </fill>
    </dxf>
    <dxf>
      <font>
        <color theme="0" tint="-0.24994659260841701"/>
      </font>
      <fill>
        <patternFill>
          <bgColor theme="0" tint="-0.24994659260841701"/>
        </patternFill>
      </fill>
    </dxf>
    <dxf>
      <font>
        <b/>
        <i val="0"/>
        <color rgb="FFFFFF00"/>
      </font>
      <fill>
        <patternFill>
          <bgColor rgb="FFFF0000"/>
        </patternFill>
      </fill>
    </dxf>
    <dxf>
      <font>
        <color theme="0" tint="-0.24994659260841701"/>
      </font>
      <fill>
        <patternFill>
          <bgColor theme="0" tint="-0.24994659260841701"/>
        </patternFill>
      </fill>
    </dxf>
    <dxf>
      <font>
        <b/>
        <i val="0"/>
        <color rgb="FFC00000"/>
      </font>
      <fill>
        <patternFill>
          <bgColor theme="0" tint="-0.24994659260841701"/>
        </patternFill>
      </fill>
    </dxf>
    <dxf>
      <font>
        <color rgb="FFFFFF00"/>
      </font>
      <fill>
        <patternFill>
          <bgColor rgb="FFFF0000"/>
        </patternFill>
      </fill>
    </dxf>
    <dxf>
      <font>
        <b/>
        <i val="0"/>
        <color rgb="FFC00000"/>
      </font>
      <fill>
        <patternFill>
          <bgColor rgb="FFC00000"/>
        </patternFill>
      </fill>
    </dxf>
    <dxf>
      <font>
        <b/>
        <i val="0"/>
        <condense val="0"/>
        <extend val="0"/>
        <color indexed="21"/>
      </font>
    </dxf>
    <dxf>
      <font>
        <b/>
        <i val="0"/>
        <condense val="0"/>
        <extend val="0"/>
        <color indexed="10"/>
      </font>
    </dxf>
    <dxf>
      <font>
        <b/>
        <i val="0"/>
        <color rgb="FFFFFF00"/>
      </font>
      <fill>
        <patternFill>
          <bgColor rgb="FFFF0000"/>
        </patternFill>
      </fill>
    </dxf>
    <dxf>
      <font>
        <color theme="0" tint="-0.24994659260841701"/>
      </font>
    </dxf>
    <dxf>
      <font>
        <b/>
        <i val="0"/>
        <color theme="0"/>
      </font>
      <fill>
        <patternFill>
          <bgColor theme="0" tint="-0.499984740745262"/>
        </patternFill>
      </fill>
    </dxf>
    <dxf>
      <font>
        <b/>
        <i val="0"/>
        <color theme="0"/>
      </font>
      <fill>
        <patternFill>
          <bgColor theme="0" tint="-0.499984740745262"/>
        </patternFill>
      </fill>
    </dxf>
    <dxf>
      <font>
        <color theme="9" tint="-0.499984740745262"/>
      </font>
    </dxf>
    <dxf>
      <font>
        <b/>
        <i val="0"/>
        <color theme="1"/>
      </font>
      <fill>
        <patternFill>
          <bgColor theme="0"/>
        </patternFill>
      </fill>
    </dxf>
    <dxf>
      <font>
        <b/>
        <i val="0"/>
        <color rgb="FFFFFF00"/>
      </font>
      <fill>
        <patternFill>
          <bgColor rgb="FFC00000"/>
        </patternFill>
      </fill>
    </dxf>
    <dxf>
      <font>
        <b/>
        <i val="0"/>
        <color rgb="FFFFFF00"/>
      </font>
      <fill>
        <patternFill>
          <bgColor rgb="FFC00000"/>
        </patternFill>
      </fill>
    </dxf>
    <dxf>
      <font>
        <b/>
        <i val="0"/>
        <color theme="1" tint="0.24994659260841701"/>
      </font>
      <fill>
        <patternFill>
          <bgColor rgb="FF969696"/>
        </patternFill>
      </fill>
    </dxf>
    <dxf>
      <font>
        <b/>
        <i val="0"/>
        <color rgb="FFFFFF00"/>
      </font>
      <fill>
        <patternFill>
          <bgColor rgb="FFC00000"/>
        </patternFill>
      </fill>
    </dxf>
    <dxf>
      <font>
        <b/>
        <i val="0"/>
        <color rgb="FFC00000"/>
      </font>
      <fill>
        <patternFill>
          <bgColor rgb="FFC00000"/>
        </patternFill>
      </fill>
    </dxf>
    <dxf>
      <font>
        <b/>
        <i val="0"/>
        <color rgb="FFC00000"/>
      </font>
      <fill>
        <patternFill>
          <bgColor rgb="FFC00000"/>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b/>
        <i val="0"/>
        <color theme="0"/>
      </font>
      <fill>
        <patternFill>
          <bgColor theme="0"/>
        </patternFill>
      </fill>
      <border>
        <left/>
        <right/>
        <top/>
        <bottom/>
      </border>
    </dxf>
    <dxf>
      <font>
        <color theme="0"/>
      </font>
      <fill>
        <patternFill>
          <bgColor theme="0"/>
        </patternFill>
      </fill>
      <border>
        <left/>
        <right/>
        <top/>
        <bottom/>
        <vertical/>
        <horizontal/>
      </border>
    </dxf>
    <dxf>
      <font>
        <b/>
        <i val="0"/>
        <color theme="9" tint="-0.499984740745262"/>
      </font>
      <fill>
        <patternFill>
          <bgColor rgb="FFFFFF99"/>
        </patternFill>
      </fill>
    </dxf>
    <dxf>
      <font>
        <b/>
        <i val="0"/>
        <color rgb="FF006666"/>
      </font>
      <fill>
        <patternFill>
          <bgColor theme="6" tint="0.39994506668294322"/>
        </patternFill>
      </fill>
    </dxf>
    <dxf>
      <font>
        <b/>
        <i val="0"/>
        <color rgb="FFFF0000"/>
      </font>
      <fill>
        <patternFill>
          <bgColor rgb="FFFFCCCC"/>
        </patternFill>
      </fill>
    </dxf>
    <dxf>
      <font>
        <b/>
        <i val="0"/>
        <color rgb="FFFFFF00"/>
      </font>
      <fill>
        <patternFill>
          <bgColor rgb="FFFF0000"/>
        </patternFill>
      </fill>
      <border>
        <left style="thin">
          <color auto="1"/>
        </left>
        <right style="thin">
          <color auto="1"/>
        </right>
        <top style="thin">
          <color auto="1"/>
        </top>
        <bottom style="thin">
          <color auto="1"/>
        </bottom>
      </border>
    </dxf>
    <dxf>
      <font>
        <color theme="0"/>
      </font>
      <fill>
        <patternFill>
          <bgColor theme="0"/>
        </patternFill>
      </fill>
      <border>
        <left/>
        <right/>
        <top/>
        <bottom/>
        <vertical/>
        <horizontal/>
      </border>
    </dxf>
    <dxf>
      <fill>
        <patternFill>
          <bgColor rgb="FFFF0000"/>
        </patternFill>
      </fill>
    </dxf>
    <dxf>
      <font>
        <b/>
        <i val="0"/>
        <color rgb="FFFFFF00"/>
      </font>
      <fill>
        <patternFill>
          <bgColor rgb="FFC00000"/>
        </patternFill>
      </fill>
    </dxf>
    <dxf>
      <font>
        <b/>
        <i val="0"/>
        <color rgb="FFC00000"/>
      </font>
      <fill>
        <patternFill>
          <bgColor rgb="FFC00000"/>
        </patternFill>
      </fill>
    </dxf>
    <dxf>
      <font>
        <b/>
        <i val="0"/>
        <color rgb="FFC00000"/>
      </font>
      <fill>
        <patternFill>
          <bgColor rgb="FFC00000"/>
        </patternFill>
      </fill>
    </dxf>
    <dxf>
      <fill>
        <patternFill>
          <bgColor rgb="FFFF0000"/>
        </patternFill>
      </fill>
    </dxf>
    <dxf>
      <fill>
        <patternFill>
          <bgColor theme="0" tint="-0.499984740745262"/>
        </patternFill>
      </fill>
    </dxf>
    <dxf>
      <font>
        <b/>
        <i val="0"/>
        <color rgb="FFFFFF00"/>
      </font>
      <fill>
        <patternFill>
          <bgColor rgb="FFFF0000"/>
        </patternFill>
      </fill>
    </dxf>
    <dxf>
      <font>
        <color theme="0" tint="-0.24994659260841701"/>
      </font>
      <fill>
        <patternFill>
          <bgColor theme="0" tint="-0.24994659260841701"/>
        </patternFill>
      </fill>
    </dxf>
    <dxf>
      <font>
        <b/>
        <i val="0"/>
        <color rgb="FFFFFF00"/>
      </font>
      <fill>
        <patternFill>
          <bgColor rgb="FFFF0000"/>
        </patternFill>
      </fill>
    </dxf>
    <dxf>
      <font>
        <color theme="0" tint="-0.24994659260841701"/>
      </font>
      <fill>
        <patternFill>
          <bgColor theme="0" tint="-0.24994659260841701"/>
        </patternFill>
      </fill>
    </dxf>
    <dxf>
      <font>
        <b/>
        <i val="0"/>
        <color rgb="FFC00000"/>
      </font>
      <fill>
        <patternFill>
          <bgColor theme="0" tint="-0.24994659260841701"/>
        </patternFill>
      </fill>
    </dxf>
    <dxf>
      <font>
        <color rgb="FFFFFF00"/>
      </font>
      <fill>
        <patternFill>
          <bgColor rgb="FFFF0000"/>
        </patternFill>
      </fill>
    </dxf>
    <dxf>
      <font>
        <b/>
        <i val="0"/>
        <color rgb="FFC00000"/>
      </font>
      <fill>
        <patternFill>
          <bgColor rgb="FFC00000"/>
        </patternFill>
      </fill>
    </dxf>
    <dxf>
      <font>
        <b/>
        <i val="0"/>
        <condense val="0"/>
        <extend val="0"/>
        <color indexed="21"/>
      </font>
    </dxf>
    <dxf>
      <font>
        <b/>
        <i val="0"/>
        <condense val="0"/>
        <extend val="0"/>
        <color indexed="10"/>
      </font>
    </dxf>
    <dxf>
      <font>
        <b/>
        <i val="0"/>
        <color rgb="FFFFFF00"/>
      </font>
      <fill>
        <patternFill>
          <bgColor rgb="FFFF0000"/>
        </patternFill>
      </fill>
    </dxf>
    <dxf>
      <font>
        <color theme="0" tint="-0.24994659260841701"/>
      </font>
    </dxf>
    <dxf>
      <font>
        <b/>
        <i val="0"/>
        <color theme="0"/>
      </font>
      <fill>
        <patternFill>
          <bgColor theme="0" tint="-0.499984740745262"/>
        </patternFill>
      </fill>
    </dxf>
    <dxf>
      <font>
        <b/>
        <i val="0"/>
        <color theme="0"/>
      </font>
      <fill>
        <patternFill>
          <bgColor theme="0" tint="-0.499984740745262"/>
        </patternFill>
      </fill>
    </dxf>
    <dxf>
      <font>
        <color theme="9" tint="-0.499984740745262"/>
      </font>
    </dxf>
    <dxf>
      <font>
        <b/>
        <i val="0"/>
        <color theme="1"/>
      </font>
      <fill>
        <patternFill>
          <bgColor theme="0"/>
        </patternFill>
      </fill>
    </dxf>
    <dxf>
      <font>
        <b/>
        <i val="0"/>
        <color rgb="FFFFFF00"/>
      </font>
      <fill>
        <patternFill>
          <bgColor rgb="FFC00000"/>
        </patternFill>
      </fill>
    </dxf>
    <dxf>
      <font>
        <b/>
        <i val="0"/>
        <color rgb="FFFFFF00"/>
      </font>
      <fill>
        <patternFill>
          <bgColor rgb="FFC00000"/>
        </patternFill>
      </fill>
    </dxf>
    <dxf>
      <font>
        <b/>
        <i val="0"/>
        <color theme="1" tint="0.24994659260841701"/>
      </font>
      <fill>
        <patternFill>
          <bgColor rgb="FF969696"/>
        </patternFill>
      </fill>
    </dxf>
    <dxf>
      <font>
        <b/>
        <i val="0"/>
        <color rgb="FFFFFF00"/>
      </font>
      <fill>
        <patternFill>
          <bgColor rgb="FFC00000"/>
        </patternFill>
      </fill>
    </dxf>
    <dxf>
      <font>
        <b/>
        <i val="0"/>
        <color rgb="FFC00000"/>
      </font>
      <fill>
        <patternFill>
          <bgColor rgb="FFC00000"/>
        </patternFill>
      </fill>
    </dxf>
    <dxf>
      <font>
        <b/>
        <i val="0"/>
        <color rgb="FFC00000"/>
      </font>
      <fill>
        <patternFill>
          <bgColor rgb="FFC00000"/>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b/>
        <i val="0"/>
        <color theme="0"/>
      </font>
      <fill>
        <patternFill>
          <bgColor theme="0"/>
        </patternFill>
      </fill>
      <border>
        <left/>
        <right/>
        <top/>
        <bottom/>
      </border>
    </dxf>
    <dxf>
      <font>
        <color theme="0"/>
      </font>
      <fill>
        <patternFill>
          <bgColor theme="0"/>
        </patternFill>
      </fill>
      <border>
        <left/>
        <right/>
        <top/>
        <bottom/>
        <vertical/>
        <horizontal/>
      </border>
    </dxf>
    <dxf>
      <font>
        <b/>
        <i val="0"/>
        <color theme="9" tint="-0.499984740745262"/>
      </font>
      <fill>
        <patternFill>
          <bgColor rgb="FFFFFF99"/>
        </patternFill>
      </fill>
    </dxf>
    <dxf>
      <font>
        <b/>
        <i val="0"/>
        <color rgb="FF006666"/>
      </font>
      <fill>
        <patternFill>
          <bgColor theme="6" tint="0.39994506668294322"/>
        </patternFill>
      </fill>
    </dxf>
    <dxf>
      <font>
        <b/>
        <i val="0"/>
        <color rgb="FFFF0000"/>
      </font>
      <fill>
        <patternFill>
          <bgColor rgb="FFFFCCCC"/>
        </patternFill>
      </fill>
    </dxf>
    <dxf>
      <font>
        <b/>
        <i val="0"/>
        <color rgb="FFFFFF00"/>
      </font>
      <fill>
        <patternFill>
          <bgColor rgb="FFFF0000"/>
        </patternFill>
      </fill>
      <border>
        <left style="thin">
          <color auto="1"/>
        </left>
        <right style="thin">
          <color auto="1"/>
        </right>
        <top style="thin">
          <color auto="1"/>
        </top>
        <bottom style="thin">
          <color auto="1"/>
        </bottom>
      </border>
    </dxf>
    <dxf>
      <font>
        <color theme="0"/>
      </font>
      <fill>
        <patternFill>
          <bgColor theme="0"/>
        </patternFill>
      </fill>
      <border>
        <left/>
        <right/>
        <top/>
        <bottom/>
        <vertical/>
        <horizontal/>
      </border>
    </dxf>
    <dxf>
      <fill>
        <patternFill>
          <bgColor rgb="FFFF0000"/>
        </patternFill>
      </fill>
    </dxf>
    <dxf>
      <font>
        <b/>
        <i val="0"/>
        <color rgb="FFFFFF00"/>
      </font>
      <fill>
        <patternFill>
          <bgColor rgb="FFC00000"/>
        </patternFill>
      </fill>
    </dxf>
    <dxf>
      <font>
        <b/>
        <i val="0"/>
        <color rgb="FFC00000"/>
      </font>
      <fill>
        <patternFill>
          <bgColor rgb="FFC00000"/>
        </patternFill>
      </fill>
    </dxf>
    <dxf>
      <font>
        <b/>
        <i val="0"/>
        <color rgb="FFC00000"/>
      </font>
      <fill>
        <patternFill>
          <bgColor rgb="FFC00000"/>
        </patternFill>
      </fill>
    </dxf>
    <dxf>
      <fill>
        <patternFill>
          <bgColor rgb="FFFF0000"/>
        </patternFill>
      </fill>
    </dxf>
    <dxf>
      <fill>
        <patternFill>
          <bgColor theme="0" tint="-0.499984740745262"/>
        </patternFill>
      </fill>
    </dxf>
    <dxf>
      <font>
        <b/>
        <i val="0"/>
        <color rgb="FFFFFF00"/>
      </font>
      <fill>
        <patternFill>
          <bgColor rgb="FFFF0000"/>
        </patternFill>
      </fill>
    </dxf>
    <dxf>
      <font>
        <color theme="0" tint="-0.24994659260841701"/>
      </font>
      <fill>
        <patternFill>
          <bgColor theme="0" tint="-0.24994659260841701"/>
        </patternFill>
      </fill>
    </dxf>
    <dxf>
      <font>
        <b/>
        <i val="0"/>
        <color rgb="FFFFFF00"/>
      </font>
      <fill>
        <patternFill>
          <bgColor rgb="FFFF0000"/>
        </patternFill>
      </fill>
    </dxf>
    <dxf>
      <font>
        <color theme="0" tint="-0.24994659260841701"/>
      </font>
      <fill>
        <patternFill>
          <bgColor theme="0" tint="-0.24994659260841701"/>
        </patternFill>
      </fill>
    </dxf>
    <dxf>
      <font>
        <b/>
        <i val="0"/>
        <color rgb="FFC00000"/>
      </font>
      <fill>
        <patternFill>
          <bgColor theme="0" tint="-0.24994659260841701"/>
        </patternFill>
      </fill>
    </dxf>
    <dxf>
      <font>
        <color rgb="FFFFFF00"/>
      </font>
      <fill>
        <patternFill>
          <bgColor rgb="FFFF0000"/>
        </patternFill>
      </fill>
    </dxf>
    <dxf>
      <font>
        <b/>
        <i val="0"/>
        <color rgb="FFC00000"/>
      </font>
      <fill>
        <patternFill>
          <bgColor rgb="FFC00000"/>
        </patternFill>
      </fill>
    </dxf>
    <dxf>
      <font>
        <b/>
        <i val="0"/>
        <condense val="0"/>
        <extend val="0"/>
        <color indexed="21"/>
      </font>
    </dxf>
    <dxf>
      <font>
        <b/>
        <i val="0"/>
        <condense val="0"/>
        <extend val="0"/>
        <color indexed="10"/>
      </font>
    </dxf>
    <dxf>
      <font>
        <b/>
        <i val="0"/>
        <color rgb="FFFFFF00"/>
      </font>
      <fill>
        <patternFill>
          <bgColor rgb="FFFF0000"/>
        </patternFill>
      </fill>
    </dxf>
    <dxf>
      <font>
        <color theme="0" tint="-0.24994659260841701"/>
      </font>
    </dxf>
    <dxf>
      <font>
        <b/>
        <i val="0"/>
        <color theme="0"/>
      </font>
      <fill>
        <patternFill>
          <bgColor theme="0" tint="-0.499984740745262"/>
        </patternFill>
      </fill>
    </dxf>
    <dxf>
      <font>
        <b/>
        <i val="0"/>
        <color theme="0"/>
      </font>
      <fill>
        <patternFill>
          <bgColor theme="0" tint="-0.499984740745262"/>
        </patternFill>
      </fill>
    </dxf>
    <dxf>
      <font>
        <color theme="9" tint="-0.499984740745262"/>
      </font>
    </dxf>
    <dxf>
      <font>
        <b/>
        <i val="0"/>
        <color theme="1"/>
      </font>
      <fill>
        <patternFill>
          <bgColor theme="0"/>
        </patternFill>
      </fill>
    </dxf>
    <dxf>
      <font>
        <b/>
        <i val="0"/>
        <color rgb="FFFFFF00"/>
      </font>
      <fill>
        <patternFill>
          <bgColor rgb="FFC00000"/>
        </patternFill>
      </fill>
    </dxf>
    <dxf>
      <font>
        <b/>
        <i val="0"/>
        <color rgb="FFFFFF00"/>
      </font>
      <fill>
        <patternFill>
          <bgColor rgb="FFC00000"/>
        </patternFill>
      </fill>
    </dxf>
    <dxf>
      <font>
        <b/>
        <i val="0"/>
        <color theme="1" tint="0.24994659260841701"/>
      </font>
      <fill>
        <patternFill>
          <bgColor rgb="FF969696"/>
        </patternFill>
      </fill>
    </dxf>
    <dxf>
      <font>
        <b/>
        <i val="0"/>
        <color rgb="FFFFFF00"/>
      </font>
      <fill>
        <patternFill>
          <bgColor rgb="FFC00000"/>
        </patternFill>
      </fill>
    </dxf>
    <dxf>
      <font>
        <b/>
        <i val="0"/>
        <color rgb="FFC00000"/>
      </font>
      <fill>
        <patternFill>
          <bgColor rgb="FFC00000"/>
        </patternFill>
      </fill>
    </dxf>
    <dxf>
      <font>
        <b/>
        <i val="0"/>
        <color rgb="FFC00000"/>
      </font>
      <fill>
        <patternFill>
          <bgColor rgb="FFC00000"/>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b/>
        <i val="0"/>
        <color theme="0"/>
      </font>
      <fill>
        <patternFill>
          <bgColor theme="0"/>
        </patternFill>
      </fill>
      <border>
        <left/>
        <right/>
        <top/>
        <bottom/>
      </border>
    </dxf>
    <dxf>
      <font>
        <color theme="0"/>
      </font>
      <fill>
        <patternFill>
          <bgColor theme="0"/>
        </patternFill>
      </fill>
      <border>
        <left/>
        <right/>
        <top/>
        <bottom/>
        <vertical/>
        <horizontal/>
      </border>
    </dxf>
    <dxf>
      <font>
        <b/>
        <i val="0"/>
        <color theme="9" tint="-0.499984740745262"/>
      </font>
      <fill>
        <patternFill>
          <bgColor rgb="FFFFFF99"/>
        </patternFill>
      </fill>
    </dxf>
    <dxf>
      <font>
        <b/>
        <i val="0"/>
        <color rgb="FF006666"/>
      </font>
      <fill>
        <patternFill>
          <bgColor theme="6" tint="0.39994506668294322"/>
        </patternFill>
      </fill>
    </dxf>
    <dxf>
      <font>
        <b/>
        <i val="0"/>
        <color rgb="FFFF0000"/>
      </font>
      <fill>
        <patternFill>
          <bgColor rgb="FFFFCCCC"/>
        </patternFill>
      </fill>
    </dxf>
    <dxf>
      <font>
        <b/>
        <i val="0"/>
        <color rgb="FFFFFF00"/>
      </font>
      <fill>
        <patternFill>
          <bgColor rgb="FFFF0000"/>
        </patternFill>
      </fill>
      <border>
        <left style="thin">
          <color auto="1"/>
        </left>
        <right style="thin">
          <color auto="1"/>
        </right>
        <top style="thin">
          <color auto="1"/>
        </top>
        <bottom style="thin">
          <color auto="1"/>
        </bottom>
      </border>
    </dxf>
    <dxf>
      <fill>
        <patternFill>
          <bgColor rgb="FFFF0000"/>
        </patternFill>
      </fill>
    </dxf>
    <dxf>
      <font>
        <b/>
        <i val="0"/>
        <color rgb="FFFFFF00"/>
      </font>
      <fill>
        <patternFill>
          <bgColor rgb="FFC00000"/>
        </patternFill>
      </fill>
    </dxf>
    <dxf>
      <font>
        <b/>
        <i val="0"/>
        <color rgb="FFC00000"/>
      </font>
      <fill>
        <patternFill>
          <bgColor rgb="FFC00000"/>
        </patternFill>
      </fill>
    </dxf>
    <dxf>
      <font>
        <b/>
        <i val="0"/>
        <color rgb="FFC00000"/>
      </font>
      <fill>
        <patternFill>
          <bgColor rgb="FFC00000"/>
        </patternFill>
      </fill>
    </dxf>
    <dxf>
      <fill>
        <patternFill>
          <bgColor rgb="FFFF0000"/>
        </patternFill>
      </fill>
    </dxf>
    <dxf>
      <fill>
        <patternFill>
          <bgColor theme="0" tint="-0.499984740745262"/>
        </patternFill>
      </fill>
    </dxf>
    <dxf>
      <font>
        <b/>
        <i val="0"/>
        <color rgb="FFFFFF00"/>
      </font>
      <fill>
        <patternFill>
          <bgColor rgb="FFFF0000"/>
        </patternFill>
      </fill>
    </dxf>
    <dxf>
      <font>
        <color theme="0" tint="-0.24994659260841701"/>
      </font>
      <fill>
        <patternFill>
          <bgColor theme="0" tint="-0.24994659260841701"/>
        </patternFill>
      </fill>
    </dxf>
    <dxf>
      <font>
        <b/>
        <i val="0"/>
        <color rgb="FFFFFF00"/>
      </font>
      <fill>
        <patternFill>
          <bgColor rgb="FFFF0000"/>
        </patternFill>
      </fill>
    </dxf>
    <dxf>
      <font>
        <color theme="0" tint="-0.24994659260841701"/>
      </font>
      <fill>
        <patternFill>
          <bgColor theme="0" tint="-0.24994659260841701"/>
        </patternFill>
      </fill>
    </dxf>
    <dxf>
      <font>
        <b/>
        <i val="0"/>
        <color rgb="FFC00000"/>
      </font>
      <fill>
        <patternFill>
          <bgColor theme="0" tint="-0.24994659260841701"/>
        </patternFill>
      </fill>
    </dxf>
    <dxf>
      <font>
        <color rgb="FFFFFF00"/>
      </font>
      <fill>
        <patternFill>
          <bgColor rgb="FFFF0000"/>
        </patternFill>
      </fill>
    </dxf>
    <dxf>
      <font>
        <b/>
        <i val="0"/>
        <color rgb="FFC00000"/>
      </font>
      <fill>
        <patternFill>
          <bgColor rgb="FFC00000"/>
        </patternFill>
      </fill>
    </dxf>
    <dxf>
      <font>
        <b/>
        <i val="0"/>
        <condense val="0"/>
        <extend val="0"/>
        <color indexed="10"/>
      </font>
    </dxf>
    <dxf>
      <font>
        <b/>
        <i val="0"/>
        <condense val="0"/>
        <extend val="0"/>
        <color indexed="21"/>
      </font>
    </dxf>
    <dxf>
      <font>
        <b/>
        <i val="0"/>
        <color rgb="FFFFFF00"/>
      </font>
      <fill>
        <patternFill>
          <bgColor rgb="FFFF0000"/>
        </patternFill>
      </fill>
    </dxf>
    <dxf>
      <font>
        <color theme="0" tint="-0.24994659260841701"/>
      </font>
    </dxf>
    <dxf>
      <font>
        <b/>
        <i val="0"/>
        <color theme="0"/>
      </font>
      <fill>
        <patternFill>
          <bgColor theme="0" tint="-0.499984740745262"/>
        </patternFill>
      </fill>
    </dxf>
    <dxf>
      <font>
        <b/>
        <i val="0"/>
        <color theme="0"/>
      </font>
      <fill>
        <patternFill>
          <bgColor theme="0" tint="-0.499984740745262"/>
        </patternFill>
      </fill>
    </dxf>
    <dxf>
      <font>
        <color theme="9" tint="-0.499984740745262"/>
      </font>
    </dxf>
    <dxf>
      <font>
        <b/>
        <i val="0"/>
        <color rgb="FFFFFF00"/>
      </font>
      <fill>
        <patternFill>
          <bgColor rgb="FFC00000"/>
        </patternFill>
      </fill>
    </dxf>
    <dxf>
      <font>
        <b/>
        <i val="0"/>
        <color rgb="FFFFFF00"/>
      </font>
      <fill>
        <patternFill>
          <bgColor rgb="FFC00000"/>
        </patternFill>
      </fill>
    </dxf>
    <dxf>
      <font>
        <b/>
        <i val="0"/>
        <color theme="1"/>
      </font>
      <fill>
        <patternFill>
          <bgColor theme="0"/>
        </patternFill>
      </fill>
    </dxf>
    <dxf>
      <font>
        <b/>
        <i val="0"/>
        <color theme="1" tint="0.24994659260841701"/>
      </font>
      <fill>
        <patternFill>
          <bgColor rgb="FF969696"/>
        </patternFill>
      </fill>
    </dxf>
    <dxf>
      <font>
        <b/>
        <i val="0"/>
        <color rgb="FFFFFF00"/>
      </font>
      <fill>
        <patternFill>
          <bgColor rgb="FFC00000"/>
        </patternFill>
      </fill>
    </dxf>
    <dxf>
      <font>
        <b/>
        <i val="0"/>
        <color rgb="FFC00000"/>
      </font>
      <fill>
        <patternFill>
          <bgColor rgb="FFC00000"/>
        </patternFill>
      </fill>
    </dxf>
    <dxf>
      <font>
        <b/>
        <i val="0"/>
        <color rgb="FFC00000"/>
      </font>
      <fill>
        <patternFill>
          <bgColor rgb="FFC00000"/>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b/>
        <i val="0"/>
        <color theme="0"/>
      </font>
      <fill>
        <patternFill>
          <bgColor theme="0"/>
        </patternFill>
      </fill>
      <border>
        <left/>
        <right/>
        <top/>
        <bottom/>
      </border>
    </dxf>
    <dxf>
      <font>
        <color theme="0"/>
      </font>
      <fill>
        <patternFill>
          <bgColor theme="0"/>
        </patternFill>
      </fill>
      <border>
        <left/>
        <right/>
        <top/>
        <bottom/>
        <vertical/>
        <horizontal/>
      </border>
    </dxf>
    <dxf>
      <font>
        <b/>
        <i val="0"/>
        <color rgb="FFFFFF00"/>
      </font>
      <fill>
        <patternFill>
          <bgColor rgb="FFFF0000"/>
        </patternFill>
      </fill>
      <border>
        <left style="thin">
          <color auto="1"/>
        </left>
        <right style="thin">
          <color auto="1"/>
        </right>
        <top style="thin">
          <color auto="1"/>
        </top>
        <bottom style="thin">
          <color auto="1"/>
        </bottom>
      </border>
    </dxf>
    <dxf>
      <font>
        <color theme="0"/>
      </font>
      <fill>
        <patternFill>
          <bgColor theme="0"/>
        </patternFill>
      </fill>
      <border>
        <left/>
        <right/>
        <top/>
        <bottom/>
        <vertical/>
        <horizontal/>
      </border>
    </dxf>
    <dxf>
      <fill>
        <patternFill>
          <bgColor rgb="FFFF0000"/>
        </patternFill>
      </fill>
    </dxf>
    <dxf>
      <font>
        <b/>
        <i val="0"/>
        <color rgb="FFFFFF00"/>
      </font>
      <fill>
        <patternFill>
          <bgColor rgb="FFC00000"/>
        </patternFill>
      </fill>
    </dxf>
    <dxf>
      <font>
        <b/>
        <i val="0"/>
        <color rgb="FFC00000"/>
      </font>
      <fill>
        <patternFill>
          <bgColor rgb="FFC00000"/>
        </patternFill>
      </fill>
    </dxf>
    <dxf>
      <font>
        <b/>
        <i val="0"/>
        <color rgb="FFC00000"/>
      </font>
      <fill>
        <patternFill>
          <bgColor rgb="FFC00000"/>
        </patternFill>
      </fill>
    </dxf>
    <dxf>
      <fill>
        <patternFill>
          <bgColor rgb="FFFF0000"/>
        </patternFill>
      </fill>
    </dxf>
    <dxf>
      <font>
        <b/>
        <i val="0"/>
        <color rgb="FFFFFF00"/>
      </font>
      <fill>
        <patternFill>
          <bgColor rgb="FFFF0000"/>
        </patternFill>
      </fill>
    </dxf>
    <dxf>
      <font>
        <color theme="0" tint="-0.24994659260841701"/>
      </font>
      <fill>
        <patternFill>
          <bgColor theme="0" tint="-0.24994659260841701"/>
        </patternFill>
      </fill>
    </dxf>
    <dxf>
      <font>
        <b/>
        <i val="0"/>
        <color rgb="FFFFFF00"/>
      </font>
      <fill>
        <patternFill>
          <bgColor rgb="FFFF0000"/>
        </patternFill>
      </fill>
    </dxf>
    <dxf>
      <font>
        <b/>
        <i val="0"/>
        <color rgb="FFC00000"/>
      </font>
      <fill>
        <patternFill>
          <bgColor rgb="FFC00000"/>
        </patternFill>
      </fill>
    </dxf>
    <dxf>
      <font>
        <b/>
        <i val="0"/>
        <condense val="0"/>
        <extend val="0"/>
        <color indexed="10"/>
      </font>
    </dxf>
    <dxf>
      <font>
        <b/>
        <i val="0"/>
        <condense val="0"/>
        <extend val="0"/>
        <color indexed="21"/>
      </font>
    </dxf>
    <dxf>
      <font>
        <b/>
        <i val="0"/>
        <color theme="0" tint="-0.24994659260841701"/>
      </font>
      <fill>
        <patternFill>
          <bgColor theme="0" tint="-0.499984740745262"/>
        </patternFill>
      </fill>
    </dxf>
    <dxf>
      <font>
        <color theme="9" tint="-0.499984740745262"/>
      </font>
    </dxf>
    <dxf>
      <font>
        <b/>
        <i val="0"/>
        <color theme="1" tint="0.24994659260841701"/>
      </font>
      <fill>
        <patternFill>
          <bgColor rgb="FF969696"/>
        </patternFill>
      </fill>
    </dxf>
    <dxf>
      <font>
        <b/>
        <i val="0"/>
        <color rgb="FFFFFF00"/>
      </font>
      <fill>
        <patternFill>
          <bgColor rgb="FFC00000"/>
        </patternFill>
      </fill>
    </dxf>
    <dxf>
      <font>
        <b/>
        <i val="0"/>
        <color rgb="FFC00000"/>
      </font>
      <fill>
        <patternFill>
          <bgColor rgb="FFC00000"/>
        </patternFill>
      </fill>
    </dxf>
    <dxf>
      <font>
        <b/>
        <i val="0"/>
        <color rgb="FFC00000"/>
      </font>
      <fill>
        <patternFill>
          <bgColor rgb="FFC00000"/>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b/>
        <i val="0"/>
        <color theme="0"/>
      </font>
      <fill>
        <patternFill>
          <bgColor theme="0"/>
        </patternFill>
      </fill>
      <border>
        <left/>
        <right/>
        <top/>
        <bottom/>
      </border>
    </dxf>
    <dxf>
      <font>
        <color theme="0"/>
      </font>
      <fill>
        <patternFill>
          <bgColor theme="0"/>
        </patternFill>
      </fill>
      <border>
        <left/>
        <right/>
        <top/>
        <bottom/>
        <vertical/>
        <horizontal/>
      </border>
    </dxf>
    <dxf>
      <font>
        <b/>
        <i val="0"/>
        <color rgb="FFFFFF00"/>
      </font>
      <fill>
        <patternFill>
          <bgColor rgb="FFFF0000"/>
        </patternFill>
      </fill>
      <border>
        <left style="thin">
          <color auto="1"/>
        </left>
        <right style="thin">
          <color auto="1"/>
        </right>
        <top style="thin">
          <color auto="1"/>
        </top>
        <bottom style="thin">
          <color auto="1"/>
        </bottom>
      </border>
    </dxf>
    <dxf>
      <font>
        <color theme="0"/>
      </font>
      <fill>
        <patternFill>
          <bgColor theme="0"/>
        </patternFill>
      </fill>
      <border>
        <left/>
        <right/>
        <top/>
        <bottom/>
        <vertical/>
        <horizontal/>
      </border>
    </dxf>
    <dxf>
      <fill>
        <patternFill>
          <bgColor rgb="FFFF0000"/>
        </patternFill>
      </fill>
    </dxf>
    <dxf>
      <font>
        <b/>
        <i val="0"/>
        <color rgb="FFFFFF00"/>
      </font>
      <fill>
        <patternFill>
          <bgColor rgb="FFC00000"/>
        </patternFill>
      </fill>
    </dxf>
    <dxf>
      <font>
        <b/>
        <i val="0"/>
        <color rgb="FFC00000"/>
      </font>
      <fill>
        <patternFill>
          <bgColor rgb="FFC00000"/>
        </patternFill>
      </fill>
    </dxf>
    <dxf>
      <font>
        <b/>
        <i val="0"/>
        <color rgb="FFC00000"/>
      </font>
      <fill>
        <patternFill>
          <bgColor rgb="FFC00000"/>
        </patternFill>
      </fill>
    </dxf>
    <dxf>
      <fill>
        <patternFill>
          <bgColor rgb="FFFF0000"/>
        </patternFill>
      </fill>
    </dxf>
    <dxf>
      <font>
        <b/>
        <i val="0"/>
        <color rgb="FFFFFF00"/>
      </font>
      <fill>
        <patternFill>
          <bgColor rgb="FFFF0000"/>
        </patternFill>
      </fill>
    </dxf>
    <dxf>
      <font>
        <color theme="0" tint="-0.24994659260841701"/>
      </font>
      <fill>
        <patternFill>
          <bgColor theme="0" tint="-0.24994659260841701"/>
        </patternFill>
      </fill>
    </dxf>
    <dxf>
      <font>
        <b/>
        <i val="0"/>
        <color rgb="FFFFFF00"/>
      </font>
      <fill>
        <patternFill>
          <bgColor rgb="FFFF0000"/>
        </patternFill>
      </fill>
    </dxf>
    <dxf>
      <font>
        <b/>
        <i val="0"/>
        <color rgb="FFC00000"/>
      </font>
      <fill>
        <patternFill>
          <bgColor rgb="FFC00000"/>
        </patternFill>
      </fill>
    </dxf>
    <dxf>
      <font>
        <b/>
        <i val="0"/>
        <condense val="0"/>
        <extend val="0"/>
        <color indexed="10"/>
      </font>
    </dxf>
    <dxf>
      <font>
        <b/>
        <i val="0"/>
        <condense val="0"/>
        <extend val="0"/>
        <color indexed="21"/>
      </font>
    </dxf>
    <dxf>
      <font>
        <b/>
        <i val="0"/>
        <color theme="0" tint="-0.24994659260841701"/>
      </font>
      <fill>
        <patternFill>
          <bgColor theme="0" tint="-0.499984740745262"/>
        </patternFill>
      </fill>
    </dxf>
    <dxf>
      <font>
        <color theme="9" tint="-0.499984740745262"/>
      </font>
    </dxf>
    <dxf>
      <font>
        <b/>
        <i val="0"/>
        <color theme="1" tint="0.24994659260841701"/>
      </font>
      <fill>
        <patternFill>
          <bgColor rgb="FF969696"/>
        </patternFill>
      </fill>
    </dxf>
    <dxf>
      <font>
        <b/>
        <i val="0"/>
        <color rgb="FFFFFF00"/>
      </font>
      <fill>
        <patternFill>
          <bgColor rgb="FFC00000"/>
        </patternFill>
      </fill>
    </dxf>
    <dxf>
      <font>
        <b/>
        <i val="0"/>
        <color rgb="FFC00000"/>
      </font>
      <fill>
        <patternFill>
          <bgColor rgb="FFC00000"/>
        </patternFill>
      </fill>
    </dxf>
    <dxf>
      <font>
        <b/>
        <i val="0"/>
        <color rgb="FFC00000"/>
      </font>
      <fill>
        <patternFill>
          <bgColor rgb="FFC00000"/>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b/>
        <i val="0"/>
        <color theme="0"/>
      </font>
      <fill>
        <patternFill>
          <bgColor theme="0"/>
        </patternFill>
      </fill>
      <border>
        <left/>
        <right/>
        <top/>
        <bottom/>
      </border>
    </dxf>
    <dxf>
      <font>
        <color theme="0"/>
      </font>
      <fill>
        <patternFill>
          <bgColor theme="0"/>
        </patternFill>
      </fill>
      <border>
        <left/>
        <right/>
        <top/>
        <bottom/>
        <vertical/>
        <horizontal/>
      </border>
    </dxf>
    <dxf>
      <font>
        <b/>
        <i val="0"/>
        <color rgb="FFFFFF00"/>
      </font>
      <fill>
        <patternFill>
          <bgColor rgb="FFFF0000"/>
        </patternFill>
      </fill>
      <border>
        <left style="thin">
          <color auto="1"/>
        </left>
        <right style="thin">
          <color auto="1"/>
        </right>
        <top style="thin">
          <color auto="1"/>
        </top>
        <bottom style="thin">
          <color auto="1"/>
        </bottom>
      </border>
    </dxf>
    <dxf>
      <font>
        <color theme="0"/>
      </font>
      <fill>
        <patternFill>
          <bgColor theme="0"/>
        </patternFill>
      </fill>
      <border>
        <left/>
        <right/>
        <top/>
        <bottom/>
        <vertical/>
        <horizontal/>
      </border>
    </dxf>
    <dxf>
      <fill>
        <patternFill>
          <bgColor rgb="FFFF0000"/>
        </patternFill>
      </fill>
    </dxf>
    <dxf>
      <font>
        <b/>
        <i val="0"/>
        <color rgb="FFFFFF00"/>
      </font>
      <fill>
        <patternFill>
          <bgColor rgb="FFC00000"/>
        </patternFill>
      </fill>
    </dxf>
    <dxf>
      <font>
        <b/>
        <i val="0"/>
        <color rgb="FFC00000"/>
      </font>
      <fill>
        <patternFill>
          <bgColor rgb="FFC00000"/>
        </patternFill>
      </fill>
    </dxf>
    <dxf>
      <font>
        <b/>
        <i val="0"/>
        <color rgb="FFC00000"/>
      </font>
      <fill>
        <patternFill>
          <bgColor rgb="FFC00000"/>
        </patternFill>
      </fill>
    </dxf>
    <dxf>
      <fill>
        <patternFill>
          <bgColor rgb="FFFF0000"/>
        </patternFill>
      </fill>
    </dxf>
    <dxf>
      <font>
        <b/>
        <i val="0"/>
        <color rgb="FFFFFF00"/>
      </font>
      <fill>
        <patternFill>
          <bgColor rgb="FFFF0000"/>
        </patternFill>
      </fill>
    </dxf>
    <dxf>
      <font>
        <color theme="0" tint="-0.24994659260841701"/>
      </font>
      <fill>
        <patternFill>
          <bgColor theme="0" tint="-0.24994659260841701"/>
        </patternFill>
      </fill>
    </dxf>
    <dxf>
      <font>
        <b/>
        <i val="0"/>
        <color rgb="FFFFFF00"/>
      </font>
      <fill>
        <patternFill>
          <bgColor rgb="FFFF0000"/>
        </patternFill>
      </fill>
    </dxf>
    <dxf>
      <font>
        <b/>
        <i val="0"/>
        <color rgb="FFC00000"/>
      </font>
      <fill>
        <patternFill>
          <bgColor rgb="FFC00000"/>
        </patternFill>
      </fill>
    </dxf>
    <dxf>
      <font>
        <b/>
        <i val="0"/>
        <condense val="0"/>
        <extend val="0"/>
        <color indexed="10"/>
      </font>
    </dxf>
    <dxf>
      <font>
        <b/>
        <i val="0"/>
        <condense val="0"/>
        <extend val="0"/>
        <color indexed="21"/>
      </font>
    </dxf>
    <dxf>
      <font>
        <b/>
        <i val="0"/>
        <color theme="0" tint="-0.24994659260841701"/>
      </font>
      <fill>
        <patternFill>
          <bgColor theme="0" tint="-0.499984740745262"/>
        </patternFill>
      </fill>
    </dxf>
    <dxf>
      <font>
        <color theme="9" tint="-0.499984740745262"/>
      </font>
    </dxf>
    <dxf>
      <font>
        <b/>
        <i val="0"/>
        <color theme="1" tint="0.24994659260841701"/>
      </font>
      <fill>
        <patternFill>
          <bgColor rgb="FF969696"/>
        </patternFill>
      </fill>
    </dxf>
    <dxf>
      <font>
        <b/>
        <i val="0"/>
        <color rgb="FFFFFF00"/>
      </font>
      <fill>
        <patternFill>
          <bgColor rgb="FFC00000"/>
        </patternFill>
      </fill>
    </dxf>
    <dxf>
      <font>
        <b/>
        <i val="0"/>
        <color rgb="FFC00000"/>
      </font>
      <fill>
        <patternFill>
          <bgColor rgb="FFC00000"/>
        </patternFill>
      </fill>
    </dxf>
    <dxf>
      <font>
        <b/>
        <i val="0"/>
        <color rgb="FFC00000"/>
      </font>
      <fill>
        <patternFill>
          <bgColor rgb="FFC00000"/>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b/>
        <i val="0"/>
        <color theme="0"/>
      </font>
      <fill>
        <patternFill>
          <bgColor theme="0"/>
        </patternFill>
      </fill>
      <border>
        <left/>
        <right/>
        <top/>
        <bottom/>
      </border>
    </dxf>
    <dxf>
      <font>
        <color theme="0"/>
      </font>
      <fill>
        <patternFill>
          <bgColor theme="0"/>
        </patternFill>
      </fill>
      <border>
        <left/>
        <right/>
        <top/>
        <bottom/>
        <vertical/>
        <horizontal/>
      </border>
    </dxf>
    <dxf>
      <font>
        <b/>
        <i val="0"/>
        <color rgb="FFFFFF00"/>
      </font>
      <fill>
        <patternFill>
          <bgColor rgb="FFFF0000"/>
        </patternFill>
      </fill>
      <border>
        <left style="thin">
          <color auto="1"/>
        </left>
        <right style="thin">
          <color auto="1"/>
        </right>
        <top style="thin">
          <color auto="1"/>
        </top>
        <bottom style="thin">
          <color auto="1"/>
        </bottom>
      </border>
    </dxf>
    <dxf>
      <fill>
        <patternFill>
          <bgColor rgb="FFFF0000"/>
        </patternFill>
      </fill>
    </dxf>
    <dxf>
      <font>
        <b/>
        <i val="0"/>
        <color rgb="FFFFFF00"/>
      </font>
      <fill>
        <patternFill>
          <bgColor rgb="FFC00000"/>
        </patternFill>
      </fill>
    </dxf>
    <dxf>
      <font>
        <b/>
        <i val="0"/>
        <color rgb="FFC00000"/>
      </font>
      <fill>
        <patternFill>
          <bgColor rgb="FFC00000"/>
        </patternFill>
      </fill>
    </dxf>
    <dxf>
      <font>
        <b/>
        <i val="0"/>
        <color rgb="FFC00000"/>
      </font>
      <fill>
        <patternFill>
          <bgColor rgb="FFC00000"/>
        </patternFill>
      </fill>
    </dxf>
    <dxf>
      <fill>
        <patternFill>
          <bgColor rgb="FFFF0000"/>
        </patternFill>
      </fill>
    </dxf>
    <dxf>
      <font>
        <b/>
        <i val="0"/>
        <color rgb="FFFFFF00"/>
      </font>
      <fill>
        <patternFill>
          <bgColor rgb="FFFF0000"/>
        </patternFill>
      </fill>
    </dxf>
    <dxf>
      <font>
        <color theme="0" tint="-0.24994659260841701"/>
      </font>
      <fill>
        <patternFill>
          <bgColor theme="0" tint="-0.24994659260841701"/>
        </patternFill>
      </fill>
    </dxf>
    <dxf>
      <font>
        <b/>
        <i val="0"/>
        <color theme="7" tint="0.79998168889431442"/>
      </font>
    </dxf>
    <dxf>
      <font>
        <b/>
        <i val="0"/>
        <color rgb="FFFFFF00"/>
      </font>
      <fill>
        <patternFill>
          <bgColor rgb="FFFF0000"/>
        </patternFill>
      </fill>
    </dxf>
    <dxf>
      <font>
        <color theme="0" tint="-0.24994659260841701"/>
      </font>
    </dxf>
    <dxf>
      <font>
        <b/>
        <i val="0"/>
        <color theme="0"/>
      </font>
      <fill>
        <patternFill>
          <bgColor theme="0" tint="-0.499984740745262"/>
        </patternFill>
      </fill>
    </dxf>
    <dxf>
      <font>
        <b/>
        <i val="0"/>
        <color theme="0" tint="-0.24994659260841701"/>
      </font>
      <fill>
        <patternFill>
          <bgColor theme="0" tint="-0.499984740745262"/>
        </patternFill>
      </fill>
    </dxf>
    <dxf>
      <font>
        <b/>
        <i val="0"/>
        <color theme="0"/>
      </font>
      <fill>
        <patternFill>
          <bgColor theme="0" tint="-0.499984740745262"/>
        </patternFill>
      </fill>
    </dxf>
    <dxf>
      <font>
        <b/>
        <i val="0"/>
        <color rgb="FFC00000"/>
      </font>
      <fill>
        <patternFill>
          <bgColor rgb="FFC00000"/>
        </patternFill>
      </fill>
    </dxf>
    <dxf>
      <font>
        <b/>
        <i val="0"/>
        <condense val="0"/>
        <extend val="0"/>
        <color indexed="10"/>
      </font>
    </dxf>
    <dxf>
      <font>
        <b/>
        <i val="0"/>
        <condense val="0"/>
        <extend val="0"/>
        <color indexed="21"/>
      </font>
    </dxf>
    <dxf>
      <font>
        <b/>
        <i val="0"/>
        <color theme="0" tint="-0.24994659260841701"/>
      </font>
      <fill>
        <patternFill>
          <bgColor theme="0" tint="-0.499984740745262"/>
        </patternFill>
      </fill>
    </dxf>
    <dxf>
      <font>
        <color theme="9" tint="-0.499984740745262"/>
      </font>
    </dxf>
    <dxf>
      <font>
        <b/>
        <i val="0"/>
        <color theme="1" tint="0.24994659260841701"/>
      </font>
      <fill>
        <patternFill>
          <bgColor rgb="FF969696"/>
        </patternFill>
      </fill>
    </dxf>
    <dxf>
      <font>
        <b/>
        <i val="0"/>
        <color rgb="FFFFFF00"/>
      </font>
      <fill>
        <patternFill>
          <bgColor rgb="FFC00000"/>
        </patternFill>
      </fill>
    </dxf>
    <dxf>
      <font>
        <b/>
        <i val="0"/>
        <color rgb="FFC00000"/>
      </font>
      <fill>
        <patternFill>
          <bgColor rgb="FFC00000"/>
        </patternFill>
      </fill>
    </dxf>
    <dxf>
      <font>
        <b/>
        <i val="0"/>
        <color rgb="FFC00000"/>
      </font>
      <fill>
        <patternFill>
          <bgColor rgb="FFC00000"/>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b/>
        <i val="0"/>
        <color theme="0"/>
      </font>
      <fill>
        <patternFill>
          <bgColor theme="0"/>
        </patternFill>
      </fill>
      <border>
        <left/>
        <right/>
        <top/>
        <bottom/>
      </border>
    </dxf>
    <dxf>
      <font>
        <color theme="0"/>
      </font>
      <fill>
        <patternFill>
          <bgColor theme="0"/>
        </patternFill>
      </fill>
      <border>
        <left/>
        <right/>
        <top/>
        <bottom/>
        <vertical/>
        <horizontal/>
      </border>
    </dxf>
    <dxf>
      <font>
        <b/>
        <i val="0"/>
        <color rgb="FFFFFF00"/>
      </font>
      <fill>
        <patternFill>
          <bgColor rgb="FFFF0000"/>
        </patternFill>
      </fill>
      <border>
        <left style="thin">
          <color auto="1"/>
        </left>
        <right style="thin">
          <color auto="1"/>
        </right>
        <top style="thin">
          <color auto="1"/>
        </top>
        <bottom style="thin">
          <color auto="1"/>
        </bottom>
      </border>
    </dxf>
    <dxf>
      <font>
        <color theme="0"/>
      </font>
      <fill>
        <patternFill>
          <bgColor theme="0"/>
        </patternFill>
      </fill>
      <border>
        <left/>
        <right/>
        <top/>
        <bottom/>
        <vertical/>
        <horizontal/>
      </border>
    </dxf>
    <dxf>
      <fill>
        <patternFill>
          <bgColor rgb="FFFF0000"/>
        </patternFill>
      </fill>
    </dxf>
    <dxf>
      <font>
        <b/>
        <i val="0"/>
        <color rgb="FFFFFF00"/>
      </font>
      <fill>
        <patternFill>
          <bgColor rgb="FFC00000"/>
        </patternFill>
      </fill>
    </dxf>
    <dxf>
      <font>
        <b/>
        <i val="0"/>
        <color rgb="FFC00000"/>
      </font>
      <fill>
        <patternFill>
          <bgColor rgb="FFC00000"/>
        </patternFill>
      </fill>
    </dxf>
    <dxf>
      <font>
        <b/>
        <i val="0"/>
        <color rgb="FFC00000"/>
      </font>
      <fill>
        <patternFill>
          <bgColor rgb="FFC00000"/>
        </patternFill>
      </fill>
    </dxf>
    <dxf>
      <fill>
        <patternFill>
          <bgColor rgb="FFFF0000"/>
        </patternFill>
      </fill>
    </dxf>
    <dxf>
      <font>
        <b/>
        <i val="0"/>
        <color rgb="FFFFFF00"/>
      </font>
      <fill>
        <patternFill>
          <bgColor rgb="FFFF0000"/>
        </patternFill>
      </fill>
    </dxf>
    <dxf>
      <font>
        <color theme="0" tint="-0.24994659260841701"/>
      </font>
      <fill>
        <patternFill>
          <bgColor theme="0" tint="-0.24994659260841701"/>
        </patternFill>
      </fill>
    </dxf>
    <dxf>
      <font>
        <b/>
        <i val="0"/>
        <color rgb="FFFFFF00"/>
      </font>
      <fill>
        <patternFill>
          <bgColor rgb="FFFF0000"/>
        </patternFill>
      </fill>
    </dxf>
    <dxf>
      <font>
        <b/>
        <i val="0"/>
        <color rgb="FFC00000"/>
      </font>
      <fill>
        <patternFill>
          <bgColor rgb="FFC00000"/>
        </patternFill>
      </fill>
    </dxf>
    <dxf>
      <font>
        <b/>
        <i val="0"/>
        <condense val="0"/>
        <extend val="0"/>
        <color indexed="10"/>
      </font>
    </dxf>
    <dxf>
      <font>
        <b/>
        <i val="0"/>
        <condense val="0"/>
        <extend val="0"/>
        <color indexed="21"/>
      </font>
    </dxf>
    <dxf>
      <font>
        <b/>
        <i val="0"/>
        <color theme="0" tint="-0.24994659260841701"/>
      </font>
      <fill>
        <patternFill>
          <bgColor theme="0" tint="-0.499984740745262"/>
        </patternFill>
      </fill>
    </dxf>
    <dxf>
      <font>
        <color theme="9" tint="-0.499984740745262"/>
      </font>
    </dxf>
    <dxf>
      <font>
        <b/>
        <i val="0"/>
        <color theme="1" tint="0.24994659260841701"/>
      </font>
      <fill>
        <patternFill>
          <bgColor rgb="FF969696"/>
        </patternFill>
      </fill>
    </dxf>
    <dxf>
      <font>
        <b/>
        <i val="0"/>
        <color rgb="FFFFFF00"/>
      </font>
      <fill>
        <patternFill>
          <bgColor rgb="FFC00000"/>
        </patternFill>
      </fill>
    </dxf>
    <dxf>
      <font>
        <b/>
        <i val="0"/>
        <color rgb="FFC00000"/>
      </font>
      <fill>
        <patternFill>
          <bgColor rgb="FFC00000"/>
        </patternFill>
      </fill>
    </dxf>
    <dxf>
      <font>
        <b/>
        <i val="0"/>
        <color rgb="FFC00000"/>
      </font>
      <fill>
        <patternFill>
          <bgColor rgb="FFC00000"/>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b/>
        <i val="0"/>
        <color theme="0"/>
      </font>
      <fill>
        <patternFill>
          <bgColor theme="0"/>
        </patternFill>
      </fill>
      <border>
        <left/>
        <right/>
        <top/>
        <bottom/>
      </border>
    </dxf>
    <dxf>
      <font>
        <color theme="0"/>
      </font>
      <fill>
        <patternFill>
          <bgColor theme="0"/>
        </patternFill>
      </fill>
      <border>
        <left/>
        <right/>
        <top/>
        <bottom/>
        <vertical/>
        <horizontal/>
      </border>
    </dxf>
    <dxf>
      <font>
        <b/>
        <i val="0"/>
        <color rgb="FFFFFF00"/>
      </font>
      <fill>
        <patternFill>
          <bgColor rgb="FFFF0000"/>
        </patternFill>
      </fill>
      <border>
        <left style="thin">
          <color auto="1"/>
        </left>
        <right style="thin">
          <color auto="1"/>
        </right>
        <top style="thin">
          <color auto="1"/>
        </top>
        <bottom style="thin">
          <color auto="1"/>
        </bottom>
      </border>
    </dxf>
    <dxf>
      <fill>
        <patternFill>
          <bgColor rgb="FFFF0000"/>
        </patternFill>
      </fill>
    </dxf>
    <dxf>
      <font>
        <b/>
        <i val="0"/>
        <color rgb="FFFFFF00"/>
      </font>
      <fill>
        <patternFill>
          <bgColor rgb="FFC00000"/>
        </patternFill>
      </fill>
    </dxf>
    <dxf>
      <font>
        <b/>
        <i val="0"/>
        <color rgb="FFC00000"/>
      </font>
      <fill>
        <patternFill>
          <bgColor rgb="FFC00000"/>
        </patternFill>
      </fill>
    </dxf>
    <dxf>
      <font>
        <b/>
        <i val="0"/>
        <color rgb="FFC00000"/>
      </font>
      <fill>
        <patternFill>
          <bgColor rgb="FFC00000"/>
        </patternFill>
      </fill>
    </dxf>
    <dxf>
      <fill>
        <patternFill>
          <bgColor rgb="FFFF0000"/>
        </patternFill>
      </fill>
    </dxf>
    <dxf>
      <fill>
        <patternFill>
          <bgColor theme="0" tint="-0.499984740745262"/>
        </patternFill>
      </fill>
    </dxf>
    <dxf>
      <font>
        <b/>
        <i val="0"/>
        <color rgb="FFFFFF00"/>
      </font>
      <fill>
        <patternFill>
          <bgColor rgb="FFFF0000"/>
        </patternFill>
      </fill>
    </dxf>
    <dxf>
      <font>
        <color theme="0" tint="-0.24994659260841701"/>
      </font>
      <fill>
        <patternFill>
          <bgColor theme="0" tint="-0.24994659260841701"/>
        </patternFill>
      </fill>
    </dxf>
    <dxf>
      <font>
        <b/>
        <i val="0"/>
        <color theme="7" tint="0.79998168889431442"/>
      </font>
    </dxf>
    <dxf>
      <font>
        <b/>
        <i val="0"/>
        <color rgb="FFFFFF00"/>
      </font>
      <fill>
        <patternFill>
          <bgColor rgb="FFFF0000"/>
        </patternFill>
      </fill>
    </dxf>
    <dxf>
      <font>
        <b/>
        <i val="0"/>
        <color theme="0"/>
      </font>
      <fill>
        <patternFill>
          <bgColor theme="0" tint="-0.499984740745262"/>
        </patternFill>
      </fill>
    </dxf>
    <dxf>
      <font>
        <b/>
        <i val="0"/>
        <color theme="0" tint="-0.14996795556505021"/>
      </font>
      <fill>
        <patternFill>
          <bgColor theme="0" tint="-0.14996795556505021"/>
        </patternFill>
      </fill>
    </dxf>
    <dxf>
      <font>
        <b/>
        <i val="0"/>
        <color rgb="FFC00000"/>
      </font>
      <fill>
        <patternFill>
          <bgColor rgb="FFC00000"/>
        </patternFill>
      </fill>
    </dxf>
    <dxf>
      <font>
        <b/>
        <i val="0"/>
        <condense val="0"/>
        <extend val="0"/>
        <color indexed="10"/>
      </font>
    </dxf>
    <dxf>
      <font>
        <b/>
        <i val="0"/>
        <condense val="0"/>
        <extend val="0"/>
        <color indexed="21"/>
      </font>
    </dxf>
    <dxf>
      <font>
        <color theme="0" tint="-0.24994659260841701"/>
      </font>
    </dxf>
    <dxf>
      <font>
        <b/>
        <i val="0"/>
        <color theme="0" tint="-0.24994659260841701"/>
      </font>
      <fill>
        <patternFill>
          <bgColor theme="0" tint="-0.499984740745262"/>
        </patternFill>
      </fill>
    </dxf>
    <dxf>
      <font>
        <b/>
        <i val="0"/>
        <color theme="0"/>
      </font>
      <fill>
        <patternFill>
          <bgColor theme="0" tint="-0.499984740745262"/>
        </patternFill>
      </fill>
    </dxf>
    <dxf>
      <font>
        <color theme="9" tint="-0.499984740745262"/>
      </font>
    </dxf>
    <dxf>
      <font>
        <b/>
        <i val="0"/>
        <color theme="1" tint="0.24994659260841701"/>
      </font>
      <fill>
        <patternFill>
          <bgColor rgb="FF969696"/>
        </patternFill>
      </fill>
    </dxf>
    <dxf>
      <font>
        <b/>
        <i val="0"/>
        <color rgb="FFFFFF00"/>
      </font>
      <fill>
        <patternFill>
          <bgColor rgb="FFC00000"/>
        </patternFill>
      </fill>
    </dxf>
    <dxf>
      <font>
        <b/>
        <i val="0"/>
        <color rgb="FFC00000"/>
      </font>
      <fill>
        <patternFill>
          <bgColor rgb="FFC00000"/>
        </patternFill>
      </fill>
    </dxf>
    <dxf>
      <font>
        <b/>
        <i val="0"/>
        <color rgb="FFC00000"/>
      </font>
      <fill>
        <patternFill>
          <bgColor rgb="FFC00000"/>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b/>
        <i val="0"/>
        <color theme="0"/>
      </font>
      <fill>
        <patternFill>
          <bgColor theme="0"/>
        </patternFill>
      </fill>
      <border>
        <left/>
        <right/>
        <top/>
        <bottom/>
      </border>
    </dxf>
    <dxf>
      <font>
        <color theme="0"/>
      </font>
      <fill>
        <patternFill>
          <bgColor theme="0"/>
        </patternFill>
      </fill>
      <border>
        <left/>
        <right/>
        <top/>
        <bottom/>
        <vertical/>
        <horizontal/>
      </border>
    </dxf>
    <dxf>
      <font>
        <b/>
        <i val="0"/>
        <color rgb="FFFFFF00"/>
      </font>
      <fill>
        <patternFill>
          <bgColor rgb="FFFF0000"/>
        </patternFill>
      </fill>
      <border>
        <left style="thin">
          <color auto="1"/>
        </left>
        <right style="thin">
          <color auto="1"/>
        </right>
        <top style="thin">
          <color auto="1"/>
        </top>
        <bottom style="thin">
          <color auto="1"/>
        </bottom>
      </border>
    </dxf>
    <dxf>
      <fill>
        <patternFill>
          <bgColor rgb="FFFF0000"/>
        </patternFill>
      </fill>
    </dxf>
    <dxf>
      <font>
        <b/>
        <i val="0"/>
        <color rgb="FFFFFF00"/>
      </font>
      <fill>
        <patternFill>
          <bgColor rgb="FFC00000"/>
        </patternFill>
      </fill>
    </dxf>
    <dxf>
      <font>
        <b/>
        <i val="0"/>
        <color rgb="FFC00000"/>
      </font>
      <fill>
        <patternFill>
          <bgColor rgb="FFC00000"/>
        </patternFill>
      </fill>
    </dxf>
    <dxf>
      <font>
        <b/>
        <i val="0"/>
        <color rgb="FFC00000"/>
      </font>
      <fill>
        <patternFill>
          <bgColor rgb="FFC00000"/>
        </patternFill>
      </fill>
    </dxf>
    <dxf>
      <fill>
        <patternFill>
          <bgColor rgb="FFFF0000"/>
        </patternFill>
      </fill>
    </dxf>
    <dxf>
      <font>
        <b/>
        <i val="0"/>
        <color rgb="FFFFFF00"/>
      </font>
      <fill>
        <patternFill>
          <bgColor rgb="FFFF0000"/>
        </patternFill>
      </fill>
    </dxf>
    <dxf>
      <font>
        <color theme="0" tint="-0.24994659260841701"/>
      </font>
      <fill>
        <patternFill>
          <bgColor theme="0" tint="-0.24994659260841701"/>
        </patternFill>
      </fill>
    </dxf>
    <dxf>
      <font>
        <b/>
        <i val="0"/>
        <color rgb="FFFFFF00"/>
      </font>
      <fill>
        <patternFill>
          <bgColor rgb="FFFF0000"/>
        </patternFill>
      </fill>
    </dxf>
    <dxf>
      <font>
        <b/>
        <i val="0"/>
        <color rgb="FFC00000"/>
      </font>
      <fill>
        <patternFill>
          <bgColor rgb="FFC00000"/>
        </patternFill>
      </fill>
    </dxf>
    <dxf>
      <font>
        <b/>
        <i val="0"/>
        <condense val="0"/>
        <extend val="0"/>
        <color indexed="10"/>
      </font>
    </dxf>
    <dxf>
      <font>
        <b/>
        <i val="0"/>
        <condense val="0"/>
        <extend val="0"/>
        <color indexed="21"/>
      </font>
    </dxf>
    <dxf>
      <font>
        <b/>
        <i val="0"/>
        <color theme="0" tint="-0.24994659260841701"/>
      </font>
      <fill>
        <patternFill>
          <bgColor rgb="FF808080"/>
        </patternFill>
      </fill>
    </dxf>
    <dxf>
      <font>
        <color theme="9" tint="-0.499984740745262"/>
      </font>
    </dxf>
    <dxf>
      <font>
        <b/>
        <i val="0"/>
        <color theme="1" tint="0.24994659260841701"/>
      </font>
      <fill>
        <patternFill>
          <bgColor rgb="FF969696"/>
        </patternFill>
      </fill>
    </dxf>
    <dxf>
      <font>
        <b/>
        <i val="0"/>
        <color rgb="FFFFFF00"/>
      </font>
      <fill>
        <patternFill>
          <bgColor rgb="FFC00000"/>
        </patternFill>
      </fill>
    </dxf>
    <dxf>
      <font>
        <b/>
        <i val="0"/>
        <color rgb="FFC00000"/>
      </font>
      <fill>
        <patternFill>
          <bgColor rgb="FFC00000"/>
        </patternFill>
      </fill>
    </dxf>
    <dxf>
      <font>
        <b/>
        <i val="0"/>
        <color rgb="FFC00000"/>
      </font>
      <fill>
        <patternFill>
          <bgColor rgb="FFC00000"/>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b/>
        <i val="0"/>
        <color theme="0"/>
      </font>
      <fill>
        <patternFill>
          <bgColor theme="0"/>
        </patternFill>
      </fill>
      <border>
        <left/>
        <right/>
        <top/>
        <bottom/>
      </border>
    </dxf>
    <dxf>
      <font>
        <color theme="0"/>
      </font>
      <fill>
        <patternFill>
          <bgColor theme="0"/>
        </patternFill>
      </fill>
      <border>
        <left/>
        <right/>
        <top/>
        <bottom/>
        <vertical/>
        <horizontal/>
      </border>
    </dxf>
    <dxf>
      <font>
        <b/>
        <i val="0"/>
        <color theme="9" tint="-0.499984740745262"/>
      </font>
      <fill>
        <patternFill>
          <bgColor rgb="FFFFFF99"/>
        </patternFill>
      </fill>
    </dxf>
    <dxf>
      <font>
        <b/>
        <i val="0"/>
        <color rgb="FF006666"/>
      </font>
      <fill>
        <patternFill>
          <bgColor theme="6" tint="0.39994506668294322"/>
        </patternFill>
      </fill>
    </dxf>
    <dxf>
      <font>
        <b/>
        <i val="0"/>
        <color rgb="FFFF0000"/>
      </font>
      <fill>
        <patternFill>
          <bgColor rgb="FFFFCCCC"/>
        </patternFill>
      </fill>
    </dxf>
    <dxf>
      <font>
        <b/>
        <i val="0"/>
        <color rgb="FFFFFF00"/>
      </font>
      <fill>
        <patternFill>
          <bgColor rgb="FFFF0000"/>
        </patternFill>
      </fill>
      <border>
        <left style="thin">
          <color auto="1"/>
        </left>
        <right style="thin">
          <color auto="1"/>
        </right>
        <top style="thin">
          <color auto="1"/>
        </top>
        <bottom style="thin">
          <color auto="1"/>
        </bottom>
      </border>
    </dxf>
    <dxf>
      <font>
        <color theme="0"/>
      </font>
      <fill>
        <patternFill>
          <bgColor theme="0"/>
        </patternFill>
      </fill>
      <border>
        <left/>
        <right/>
        <top/>
        <bottom/>
        <vertical/>
        <horizontal/>
      </border>
    </dxf>
    <dxf>
      <fill>
        <patternFill>
          <bgColor rgb="FFFF0000"/>
        </patternFill>
      </fill>
    </dxf>
    <dxf>
      <font>
        <b/>
        <i val="0"/>
        <color rgb="FFFFFF00"/>
      </font>
      <fill>
        <patternFill>
          <bgColor rgb="FFC00000"/>
        </patternFill>
      </fill>
    </dxf>
    <dxf>
      <font>
        <b/>
        <i val="0"/>
        <color rgb="FFC00000"/>
      </font>
      <fill>
        <patternFill>
          <bgColor rgb="FFC00000"/>
        </patternFill>
      </fill>
    </dxf>
    <dxf>
      <font>
        <b/>
        <i val="0"/>
        <color rgb="FFC00000"/>
      </font>
      <fill>
        <patternFill>
          <bgColor rgb="FFC00000"/>
        </patternFill>
      </fill>
    </dxf>
    <dxf>
      <fill>
        <patternFill>
          <bgColor rgb="FFFF0000"/>
        </patternFill>
      </fill>
    </dxf>
    <dxf>
      <font>
        <b/>
        <i val="0"/>
        <color rgb="FFFFFF00"/>
      </font>
      <fill>
        <patternFill>
          <bgColor rgb="FFFF0000"/>
        </patternFill>
      </fill>
    </dxf>
    <dxf>
      <font>
        <color theme="0" tint="-0.24994659260841701"/>
      </font>
      <fill>
        <patternFill>
          <bgColor theme="0" tint="-0.24994659260841701"/>
        </patternFill>
      </fill>
    </dxf>
    <dxf>
      <fill>
        <patternFill>
          <bgColor theme="0" tint="-0.499984740745262"/>
        </patternFill>
      </fill>
    </dxf>
    <dxf>
      <font>
        <b/>
        <i val="0"/>
        <color rgb="FFFFFF00"/>
      </font>
      <fill>
        <patternFill>
          <bgColor rgb="FFFF0000"/>
        </patternFill>
      </fill>
    </dxf>
    <dxf>
      <font>
        <color theme="0" tint="-0.24994659260841701"/>
      </font>
      <fill>
        <patternFill>
          <bgColor theme="0" tint="-0.24994659260841701"/>
        </patternFill>
      </fill>
    </dxf>
    <dxf>
      <font>
        <b/>
        <i val="0"/>
        <color rgb="FFC00000"/>
      </font>
      <fill>
        <patternFill>
          <bgColor theme="0" tint="-0.24994659260841701"/>
        </patternFill>
      </fill>
    </dxf>
    <dxf>
      <font>
        <color rgb="FFFFFF00"/>
      </font>
      <fill>
        <patternFill>
          <bgColor rgb="FFFF0000"/>
        </patternFill>
      </fill>
    </dxf>
    <dxf>
      <font>
        <b/>
        <i val="0"/>
        <color rgb="FFC00000"/>
      </font>
      <fill>
        <patternFill>
          <bgColor rgb="FFC00000"/>
        </patternFill>
      </fill>
    </dxf>
    <dxf>
      <font>
        <b/>
        <i val="0"/>
        <condense val="0"/>
        <extend val="0"/>
        <color indexed="21"/>
      </font>
    </dxf>
    <dxf>
      <font>
        <b/>
        <i val="0"/>
        <condense val="0"/>
        <extend val="0"/>
        <color indexed="10"/>
      </font>
    </dxf>
    <dxf>
      <font>
        <b/>
        <i val="0"/>
        <color rgb="FFFFFF00"/>
      </font>
      <fill>
        <patternFill>
          <bgColor rgb="FFFF0000"/>
        </patternFill>
      </fill>
    </dxf>
    <dxf>
      <font>
        <color theme="0" tint="-0.24994659260841701"/>
      </font>
    </dxf>
    <dxf>
      <font>
        <b/>
        <i val="0"/>
        <color theme="0"/>
      </font>
      <fill>
        <patternFill>
          <bgColor theme="0" tint="-0.499984740745262"/>
        </patternFill>
      </fill>
    </dxf>
    <dxf>
      <font>
        <b/>
        <i val="0"/>
        <color theme="0"/>
      </font>
      <fill>
        <patternFill>
          <bgColor theme="0" tint="-0.499984740745262"/>
        </patternFill>
      </fill>
    </dxf>
    <dxf>
      <font>
        <color theme="9" tint="-0.499984740745262"/>
      </font>
    </dxf>
    <dxf>
      <font>
        <b/>
        <i val="0"/>
        <color rgb="FFFFFF00"/>
      </font>
      <fill>
        <patternFill>
          <bgColor rgb="FFC00000"/>
        </patternFill>
      </fill>
    </dxf>
    <dxf>
      <font>
        <b/>
        <i val="0"/>
        <color theme="1"/>
      </font>
      <fill>
        <patternFill>
          <bgColor theme="0"/>
        </patternFill>
      </fill>
    </dxf>
    <dxf>
      <font>
        <b/>
        <i val="0"/>
        <color rgb="FFFFFF00"/>
      </font>
      <fill>
        <patternFill>
          <bgColor rgb="FFC00000"/>
        </patternFill>
      </fill>
    </dxf>
    <dxf>
      <font>
        <b/>
        <i val="0"/>
        <color theme="1" tint="0.24994659260841701"/>
      </font>
      <fill>
        <patternFill>
          <bgColor rgb="FF969696"/>
        </patternFill>
      </fill>
    </dxf>
    <dxf>
      <font>
        <b/>
        <i val="0"/>
        <color rgb="FFFFFF00"/>
      </font>
      <fill>
        <patternFill>
          <bgColor rgb="FFC00000"/>
        </patternFill>
      </fill>
    </dxf>
    <dxf>
      <font>
        <b/>
        <i val="0"/>
        <color rgb="FFC00000"/>
      </font>
      <fill>
        <patternFill>
          <bgColor rgb="FFC00000"/>
        </patternFill>
      </fill>
    </dxf>
    <dxf>
      <font>
        <b/>
        <i val="0"/>
        <color rgb="FFC00000"/>
      </font>
      <fill>
        <patternFill>
          <bgColor rgb="FFC00000"/>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b/>
        <i val="0"/>
        <color theme="0"/>
      </font>
      <fill>
        <patternFill>
          <bgColor theme="0"/>
        </patternFill>
      </fill>
      <border>
        <left/>
        <right/>
        <top/>
        <bottom/>
      </border>
    </dxf>
    <dxf>
      <font>
        <color theme="0"/>
      </font>
      <fill>
        <patternFill>
          <bgColor theme="0"/>
        </patternFill>
      </fill>
      <border>
        <left/>
        <right/>
        <top/>
        <bottom/>
        <vertical/>
        <horizontal/>
      </border>
    </dxf>
    <dxf>
      <font>
        <b/>
        <i val="0"/>
        <color theme="9" tint="-0.499984740745262"/>
      </font>
      <fill>
        <patternFill>
          <bgColor rgb="FFFFFF99"/>
        </patternFill>
      </fill>
    </dxf>
    <dxf>
      <font>
        <b/>
        <i val="0"/>
        <color rgb="FF006666"/>
      </font>
      <fill>
        <patternFill>
          <bgColor theme="6" tint="0.39994506668294322"/>
        </patternFill>
      </fill>
    </dxf>
    <dxf>
      <font>
        <b/>
        <i val="0"/>
        <color rgb="FFFF0000"/>
      </font>
      <fill>
        <patternFill>
          <bgColor rgb="FFFFCCCC"/>
        </patternFill>
      </fill>
    </dxf>
    <dxf>
      <font>
        <b/>
        <i val="0"/>
        <color rgb="FFFFFF00"/>
      </font>
      <fill>
        <patternFill>
          <bgColor rgb="FFFF0000"/>
        </patternFill>
      </fill>
      <border>
        <left style="thin">
          <color auto="1"/>
        </left>
        <right style="thin">
          <color auto="1"/>
        </right>
        <top style="thin">
          <color auto="1"/>
        </top>
        <bottom style="thin">
          <color auto="1"/>
        </bottom>
      </border>
    </dxf>
    <dxf>
      <font>
        <b/>
        <i val="0"/>
        <color theme="0"/>
      </font>
      <fill>
        <patternFill>
          <bgColor theme="0"/>
        </patternFill>
      </fill>
      <border>
        <left/>
        <right/>
        <top/>
        <bottom/>
      </border>
    </dxf>
    <dxf>
      <font>
        <color theme="0"/>
      </font>
      <fill>
        <patternFill>
          <bgColor theme="0"/>
        </patternFill>
      </fill>
      <border>
        <left/>
        <right/>
        <top/>
        <bottom/>
        <vertical/>
        <horizontal/>
      </border>
    </dxf>
    <dxf>
      <fill>
        <patternFill>
          <bgColor rgb="FFFF0000"/>
        </patternFill>
      </fill>
    </dxf>
    <dxf>
      <font>
        <b/>
        <i val="0"/>
        <color rgb="FFFFFF00"/>
      </font>
      <fill>
        <patternFill>
          <bgColor rgb="FFC00000"/>
        </patternFill>
      </fill>
    </dxf>
    <dxf>
      <font>
        <b/>
        <i val="0"/>
        <color rgb="FFC00000"/>
      </font>
      <fill>
        <patternFill>
          <bgColor rgb="FFC00000"/>
        </patternFill>
      </fill>
    </dxf>
    <dxf>
      <font>
        <b/>
        <i val="0"/>
        <color rgb="FFC00000"/>
      </font>
      <fill>
        <patternFill>
          <bgColor rgb="FFC00000"/>
        </patternFill>
      </fill>
    </dxf>
    <dxf>
      <fill>
        <patternFill>
          <bgColor rgb="FFFF0000"/>
        </patternFill>
      </fill>
    </dxf>
    <dxf>
      <font>
        <b/>
        <i val="0"/>
        <color rgb="FFFFFF00"/>
      </font>
      <fill>
        <patternFill>
          <bgColor rgb="FFFF0000"/>
        </patternFill>
      </fill>
    </dxf>
    <dxf>
      <font>
        <color theme="0" tint="-0.24994659260841701"/>
      </font>
      <fill>
        <patternFill>
          <bgColor theme="0" tint="-0.24994659260841701"/>
        </patternFill>
      </fill>
    </dxf>
    <dxf>
      <fill>
        <patternFill>
          <bgColor theme="0" tint="-0.499984740745262"/>
        </patternFill>
      </fill>
    </dxf>
    <dxf>
      <font>
        <b/>
        <i val="0"/>
        <color rgb="FFFFFF00"/>
      </font>
      <fill>
        <patternFill>
          <bgColor rgb="FFFF0000"/>
        </patternFill>
      </fill>
    </dxf>
    <dxf>
      <font>
        <color theme="0" tint="-0.24994659260841701"/>
      </font>
      <fill>
        <patternFill>
          <bgColor theme="0" tint="-0.24994659260841701"/>
        </patternFill>
      </fill>
    </dxf>
    <dxf>
      <font>
        <b/>
        <i val="0"/>
        <color rgb="FFC00000"/>
      </font>
      <fill>
        <patternFill>
          <bgColor theme="0" tint="-0.24994659260841701"/>
        </patternFill>
      </fill>
    </dxf>
    <dxf>
      <font>
        <color rgb="FFFFFF00"/>
      </font>
      <fill>
        <patternFill>
          <bgColor rgb="FFFF0000"/>
        </patternFill>
      </fill>
    </dxf>
    <dxf>
      <font>
        <b/>
        <i val="0"/>
        <color rgb="FFC00000"/>
      </font>
      <fill>
        <patternFill>
          <bgColor rgb="FFC00000"/>
        </patternFill>
      </fill>
    </dxf>
    <dxf>
      <font>
        <b/>
        <i val="0"/>
        <condense val="0"/>
        <extend val="0"/>
        <color indexed="21"/>
      </font>
    </dxf>
    <dxf>
      <font>
        <b/>
        <i val="0"/>
        <condense val="0"/>
        <extend val="0"/>
        <color indexed="10"/>
      </font>
    </dxf>
    <dxf>
      <font>
        <b/>
        <i val="0"/>
        <color rgb="FFFFFF00"/>
      </font>
      <fill>
        <patternFill>
          <bgColor rgb="FFFF0000"/>
        </patternFill>
      </fill>
    </dxf>
    <dxf>
      <font>
        <color theme="0" tint="-0.24994659260841701"/>
      </font>
    </dxf>
    <dxf>
      <font>
        <b/>
        <i val="0"/>
        <color theme="0"/>
      </font>
      <fill>
        <patternFill>
          <bgColor theme="0" tint="-0.499984740745262"/>
        </patternFill>
      </fill>
    </dxf>
    <dxf>
      <font>
        <b/>
        <i val="0"/>
        <color theme="0"/>
      </font>
      <fill>
        <patternFill>
          <bgColor theme="0" tint="-0.499984740745262"/>
        </patternFill>
      </fill>
    </dxf>
    <dxf>
      <font>
        <color theme="9" tint="-0.499984740745262"/>
      </font>
    </dxf>
    <dxf>
      <font>
        <b/>
        <i val="0"/>
        <color theme="1"/>
      </font>
      <fill>
        <patternFill>
          <bgColor theme="0"/>
        </patternFill>
      </fill>
    </dxf>
    <dxf>
      <font>
        <b/>
        <i val="0"/>
        <color rgb="FFFFFF00"/>
      </font>
      <fill>
        <patternFill>
          <bgColor rgb="FFC00000"/>
        </patternFill>
      </fill>
    </dxf>
    <dxf>
      <font>
        <b/>
        <i val="0"/>
        <color rgb="FFFFFF00"/>
      </font>
      <fill>
        <patternFill>
          <bgColor rgb="FFC00000"/>
        </patternFill>
      </fill>
    </dxf>
    <dxf>
      <font>
        <b/>
        <i val="0"/>
        <color theme="1" tint="0.24994659260841701"/>
      </font>
      <fill>
        <patternFill>
          <bgColor rgb="FF969696"/>
        </patternFill>
      </fill>
    </dxf>
    <dxf>
      <font>
        <b/>
        <i val="0"/>
        <color rgb="FFFFFF00"/>
      </font>
      <fill>
        <patternFill>
          <bgColor rgb="FFC00000"/>
        </patternFill>
      </fill>
    </dxf>
    <dxf>
      <font>
        <b/>
        <i val="0"/>
        <color rgb="FFC00000"/>
      </font>
      <fill>
        <patternFill>
          <bgColor rgb="FFC00000"/>
        </patternFill>
      </fill>
    </dxf>
    <dxf>
      <font>
        <b/>
        <i val="0"/>
        <color rgb="FFC00000"/>
      </font>
      <fill>
        <patternFill>
          <bgColor rgb="FFC00000"/>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b/>
        <i val="0"/>
        <color theme="0"/>
      </font>
      <fill>
        <patternFill>
          <bgColor theme="0"/>
        </patternFill>
      </fill>
      <border>
        <left/>
        <right/>
        <top/>
        <bottom/>
      </border>
    </dxf>
    <dxf>
      <font>
        <color theme="0"/>
      </font>
      <fill>
        <patternFill>
          <bgColor theme="0"/>
        </patternFill>
      </fill>
      <border>
        <left/>
        <right/>
        <top/>
        <bottom/>
        <vertical/>
        <horizontal/>
      </border>
    </dxf>
    <dxf>
      <font>
        <b/>
        <i val="0"/>
        <color theme="9" tint="-0.499984740745262"/>
      </font>
      <fill>
        <patternFill>
          <bgColor rgb="FFFFFF99"/>
        </patternFill>
      </fill>
    </dxf>
    <dxf>
      <font>
        <b/>
        <i val="0"/>
        <color rgb="FF006666"/>
      </font>
      <fill>
        <patternFill>
          <bgColor theme="6" tint="0.39994506668294322"/>
        </patternFill>
      </fill>
    </dxf>
    <dxf>
      <font>
        <b/>
        <i val="0"/>
        <color rgb="FFFF0000"/>
      </font>
      <fill>
        <patternFill>
          <bgColor rgb="FFFFCCCC"/>
        </patternFill>
      </fill>
    </dxf>
    <dxf>
      <font>
        <b/>
        <i val="0"/>
        <color rgb="FFFFFF00"/>
      </font>
      <fill>
        <patternFill>
          <bgColor rgb="FFFF0000"/>
        </patternFill>
      </fill>
      <border>
        <left style="thin">
          <color auto="1"/>
        </left>
        <right style="thin">
          <color auto="1"/>
        </right>
        <top style="thin">
          <color auto="1"/>
        </top>
        <bottom style="thin">
          <color auto="1"/>
        </bottom>
      </border>
    </dxf>
    <dxf>
      <font>
        <color theme="0"/>
      </font>
      <fill>
        <patternFill>
          <bgColor theme="0"/>
        </patternFill>
      </fill>
      <border>
        <left/>
        <right/>
        <top/>
        <bottom/>
        <vertical/>
        <horizontal/>
      </border>
    </dxf>
    <dxf>
      <fill>
        <patternFill>
          <bgColor rgb="FFFF0000"/>
        </patternFill>
      </fill>
    </dxf>
    <dxf>
      <font>
        <b/>
        <i val="0"/>
        <color rgb="FFFFFF00"/>
      </font>
      <fill>
        <patternFill>
          <bgColor rgb="FFC00000"/>
        </patternFill>
      </fill>
    </dxf>
    <dxf>
      <font>
        <b/>
        <i val="0"/>
        <color rgb="FFC00000"/>
      </font>
      <fill>
        <patternFill>
          <bgColor rgb="FFC00000"/>
        </patternFill>
      </fill>
    </dxf>
    <dxf>
      <font>
        <b/>
        <i val="0"/>
        <color rgb="FFC00000"/>
      </font>
      <fill>
        <patternFill>
          <bgColor rgb="FFC00000"/>
        </patternFill>
      </fill>
    </dxf>
    <dxf>
      <fill>
        <patternFill>
          <bgColor rgb="FFFF0000"/>
        </patternFill>
      </fill>
    </dxf>
    <dxf>
      <font>
        <b/>
        <i val="0"/>
        <color rgb="FFFFFF00"/>
      </font>
      <fill>
        <patternFill>
          <bgColor rgb="FFFF0000"/>
        </patternFill>
      </fill>
    </dxf>
    <dxf>
      <font>
        <color theme="0" tint="-0.24994659260841701"/>
      </font>
      <fill>
        <patternFill>
          <bgColor theme="0" tint="-0.24994659260841701"/>
        </patternFill>
      </fill>
    </dxf>
    <dxf>
      <fill>
        <patternFill>
          <bgColor theme="0" tint="-0.499984740745262"/>
        </patternFill>
      </fill>
    </dxf>
    <dxf>
      <font>
        <b/>
        <i val="0"/>
        <color rgb="FFFFFF00"/>
      </font>
      <fill>
        <patternFill>
          <bgColor rgb="FFFF0000"/>
        </patternFill>
      </fill>
    </dxf>
    <dxf>
      <font>
        <color theme="0" tint="-0.24994659260841701"/>
      </font>
      <fill>
        <patternFill>
          <bgColor theme="0" tint="-0.24994659260841701"/>
        </patternFill>
      </fill>
    </dxf>
    <dxf>
      <font>
        <b/>
        <i val="0"/>
        <color rgb="FFC00000"/>
      </font>
      <fill>
        <patternFill>
          <bgColor theme="0" tint="-0.24994659260841701"/>
        </patternFill>
      </fill>
    </dxf>
    <dxf>
      <font>
        <color rgb="FFFFFF00"/>
      </font>
      <fill>
        <patternFill>
          <bgColor rgb="FFFF0000"/>
        </patternFill>
      </fill>
    </dxf>
    <dxf>
      <font>
        <b/>
        <i val="0"/>
        <color rgb="FFC00000"/>
      </font>
      <fill>
        <patternFill>
          <bgColor rgb="FFC00000"/>
        </patternFill>
      </fill>
    </dxf>
    <dxf>
      <font>
        <b/>
        <i val="0"/>
        <condense val="0"/>
        <extend val="0"/>
        <color indexed="21"/>
      </font>
    </dxf>
    <dxf>
      <font>
        <b/>
        <i val="0"/>
        <condense val="0"/>
        <extend val="0"/>
        <color indexed="10"/>
      </font>
    </dxf>
    <dxf>
      <font>
        <b/>
        <i val="0"/>
        <color rgb="FFFFFF00"/>
      </font>
      <fill>
        <patternFill>
          <bgColor rgb="FFFF0000"/>
        </patternFill>
      </fill>
    </dxf>
    <dxf>
      <font>
        <color theme="0" tint="-0.24994659260841701"/>
      </font>
    </dxf>
    <dxf>
      <font>
        <b/>
        <i val="0"/>
        <color theme="0"/>
      </font>
      <fill>
        <patternFill>
          <bgColor theme="0" tint="-0.499984740745262"/>
        </patternFill>
      </fill>
    </dxf>
    <dxf>
      <font>
        <b/>
        <i val="0"/>
        <color theme="0"/>
      </font>
      <fill>
        <patternFill>
          <bgColor theme="0" tint="-0.499984740745262"/>
        </patternFill>
      </fill>
    </dxf>
    <dxf>
      <font>
        <color theme="9" tint="-0.499984740745262"/>
      </font>
    </dxf>
    <dxf>
      <font>
        <b/>
        <i val="0"/>
        <color rgb="FFFFFF00"/>
      </font>
      <fill>
        <patternFill>
          <bgColor rgb="FFC00000"/>
        </patternFill>
      </fill>
    </dxf>
    <dxf>
      <font>
        <b/>
        <i val="0"/>
        <color theme="1"/>
      </font>
      <fill>
        <patternFill>
          <bgColor theme="0"/>
        </patternFill>
      </fill>
    </dxf>
    <dxf>
      <font>
        <b/>
        <i val="0"/>
        <color rgb="FFFFFF00"/>
      </font>
      <fill>
        <patternFill>
          <bgColor rgb="FFC00000"/>
        </patternFill>
      </fill>
    </dxf>
    <dxf>
      <font>
        <b/>
        <i val="0"/>
        <color theme="1" tint="0.24994659260841701"/>
      </font>
      <fill>
        <patternFill>
          <bgColor rgb="FF969696"/>
        </patternFill>
      </fill>
    </dxf>
    <dxf>
      <font>
        <b/>
        <i val="0"/>
        <color rgb="FFFFFF00"/>
      </font>
      <fill>
        <patternFill>
          <bgColor rgb="FFC00000"/>
        </patternFill>
      </fill>
    </dxf>
    <dxf>
      <font>
        <b/>
        <i val="0"/>
        <color rgb="FFC00000"/>
      </font>
      <fill>
        <patternFill>
          <bgColor rgb="FFC00000"/>
        </patternFill>
      </fill>
    </dxf>
    <dxf>
      <font>
        <b/>
        <i val="0"/>
        <color rgb="FFC00000"/>
      </font>
      <fill>
        <patternFill>
          <bgColor rgb="FFC00000"/>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b/>
        <i val="0"/>
        <color theme="0"/>
      </font>
      <fill>
        <patternFill>
          <bgColor theme="0"/>
        </patternFill>
      </fill>
      <border>
        <left/>
        <right/>
        <top/>
        <bottom/>
      </border>
    </dxf>
    <dxf>
      <font>
        <color theme="0"/>
      </font>
      <fill>
        <patternFill>
          <bgColor theme="0"/>
        </patternFill>
      </fill>
      <border>
        <left/>
        <right/>
        <top/>
        <bottom/>
        <vertical/>
        <horizontal/>
      </border>
    </dxf>
    <dxf>
      <font>
        <b/>
        <i val="0"/>
        <color rgb="FFFFFF00"/>
      </font>
      <fill>
        <patternFill>
          <bgColor rgb="FFFF0000"/>
        </patternFill>
      </fill>
      <border>
        <left style="thin">
          <color auto="1"/>
        </left>
        <right style="thin">
          <color auto="1"/>
        </right>
        <top style="thin">
          <color auto="1"/>
        </top>
        <bottom style="thin">
          <color auto="1"/>
        </bottom>
      </border>
    </dxf>
    <dxf>
      <font>
        <color theme="0"/>
      </font>
      <fill>
        <patternFill>
          <bgColor theme="0"/>
        </patternFill>
      </fill>
      <border>
        <left/>
        <right/>
        <top/>
        <bottom/>
        <vertical/>
        <horizontal/>
      </border>
    </dxf>
    <dxf>
      <fill>
        <patternFill>
          <bgColor rgb="FFFF0000"/>
        </patternFill>
      </fill>
    </dxf>
    <dxf>
      <font>
        <b/>
        <i val="0"/>
        <color rgb="FFFFFF00"/>
      </font>
      <fill>
        <patternFill>
          <bgColor rgb="FFC00000"/>
        </patternFill>
      </fill>
    </dxf>
    <dxf>
      <font>
        <b/>
        <i val="0"/>
        <color rgb="FFC00000"/>
      </font>
      <fill>
        <patternFill>
          <bgColor rgb="FFC00000"/>
        </patternFill>
      </fill>
    </dxf>
    <dxf>
      <font>
        <b/>
        <i val="0"/>
        <color rgb="FFC00000"/>
      </font>
      <fill>
        <patternFill>
          <bgColor rgb="FFC00000"/>
        </patternFill>
      </fill>
    </dxf>
    <dxf>
      <fill>
        <patternFill>
          <bgColor rgb="FFFF0000"/>
        </patternFill>
      </fill>
    </dxf>
    <dxf>
      <font>
        <b/>
        <i val="0"/>
        <color rgb="FFFFFF00"/>
      </font>
      <fill>
        <patternFill>
          <bgColor rgb="FFFF0000"/>
        </patternFill>
      </fill>
    </dxf>
    <dxf>
      <font>
        <color theme="0" tint="-0.24994659260841701"/>
      </font>
      <fill>
        <patternFill>
          <bgColor theme="0" tint="-0.24994659260841701"/>
        </patternFill>
      </fill>
    </dxf>
    <dxf>
      <fill>
        <patternFill>
          <bgColor theme="0" tint="-0.499984740745262"/>
        </patternFill>
      </fill>
    </dxf>
    <dxf>
      <font>
        <b/>
        <i val="0"/>
        <color rgb="FFFFFF00"/>
      </font>
      <fill>
        <patternFill>
          <bgColor rgb="FFFF0000"/>
        </patternFill>
      </fill>
    </dxf>
    <dxf>
      <font>
        <color theme="0" tint="-0.24994659260841701"/>
      </font>
      <fill>
        <patternFill>
          <bgColor theme="0" tint="-0.24994659260841701"/>
        </patternFill>
      </fill>
    </dxf>
    <dxf>
      <font>
        <b/>
        <i val="0"/>
        <color rgb="FFC00000"/>
      </font>
      <fill>
        <patternFill>
          <bgColor theme="0" tint="-0.24994659260841701"/>
        </patternFill>
      </fill>
    </dxf>
    <dxf>
      <font>
        <color rgb="FFFFFF00"/>
      </font>
      <fill>
        <patternFill>
          <bgColor rgb="FFFF0000"/>
        </patternFill>
      </fill>
    </dxf>
    <dxf>
      <font>
        <b/>
        <i val="0"/>
        <color rgb="FFC00000"/>
      </font>
      <fill>
        <patternFill>
          <bgColor rgb="FFC00000"/>
        </patternFill>
      </fill>
    </dxf>
    <dxf>
      <font>
        <b/>
        <i val="0"/>
        <condense val="0"/>
        <extend val="0"/>
        <color indexed="21"/>
      </font>
    </dxf>
    <dxf>
      <font>
        <b/>
        <i val="0"/>
        <condense val="0"/>
        <extend val="0"/>
        <color indexed="10"/>
      </font>
    </dxf>
    <dxf>
      <font>
        <b/>
        <i val="0"/>
        <color rgb="FFFFFF00"/>
      </font>
      <fill>
        <patternFill>
          <bgColor rgb="FFFF0000"/>
        </patternFill>
      </fill>
    </dxf>
    <dxf>
      <font>
        <color theme="0" tint="-0.24994659260841701"/>
      </font>
    </dxf>
    <dxf>
      <font>
        <b/>
        <i val="0"/>
        <color theme="0"/>
      </font>
      <fill>
        <patternFill>
          <bgColor theme="0" tint="-0.499984740745262"/>
        </patternFill>
      </fill>
    </dxf>
    <dxf>
      <font>
        <b/>
        <i val="0"/>
        <color theme="0"/>
      </font>
      <fill>
        <patternFill>
          <bgColor theme="0" tint="-0.499984740745262"/>
        </patternFill>
      </fill>
    </dxf>
    <dxf>
      <font>
        <color theme="9" tint="-0.499984740745262"/>
      </font>
    </dxf>
    <dxf>
      <font>
        <b/>
        <i val="0"/>
        <color theme="1"/>
      </font>
      <fill>
        <patternFill>
          <bgColor theme="0"/>
        </patternFill>
      </fill>
    </dxf>
    <dxf>
      <font>
        <b/>
        <i val="0"/>
        <color rgb="FFFFFF00"/>
      </font>
      <fill>
        <patternFill>
          <bgColor rgb="FFC00000"/>
        </patternFill>
      </fill>
    </dxf>
    <dxf>
      <font>
        <b/>
        <i val="0"/>
        <color rgb="FFFFFF00"/>
      </font>
      <fill>
        <patternFill>
          <bgColor rgb="FFC00000"/>
        </patternFill>
      </fill>
    </dxf>
    <dxf>
      <font>
        <b/>
        <i val="0"/>
        <color theme="1" tint="0.24994659260841701"/>
      </font>
      <fill>
        <patternFill>
          <bgColor rgb="FF969696"/>
        </patternFill>
      </fill>
    </dxf>
    <dxf>
      <font>
        <b/>
        <i val="0"/>
        <color rgb="FFFFFF00"/>
      </font>
      <fill>
        <patternFill>
          <bgColor rgb="FFC00000"/>
        </patternFill>
      </fill>
    </dxf>
    <dxf>
      <font>
        <b/>
        <i val="0"/>
        <color rgb="FFC00000"/>
      </font>
      <fill>
        <patternFill>
          <bgColor rgb="FFC00000"/>
        </patternFill>
      </fill>
    </dxf>
    <dxf>
      <font>
        <b/>
        <i val="0"/>
        <color rgb="FFC00000"/>
      </font>
      <fill>
        <patternFill>
          <bgColor rgb="FFC00000"/>
        </patternFill>
      </fill>
    </dxf>
    <dxf>
      <font>
        <color theme="0"/>
      </font>
      <fill>
        <patternFill>
          <bgColor theme="0"/>
        </patternFill>
      </fill>
      <border>
        <left/>
        <right/>
        <top/>
        <bottom/>
        <vertical/>
        <horizontal/>
      </border>
    </dxf>
    <dxf>
      <font>
        <b/>
        <i val="0"/>
        <color theme="0"/>
      </font>
      <fill>
        <patternFill>
          <bgColor theme="0"/>
        </patternFill>
      </fill>
      <border>
        <left/>
        <right/>
        <top/>
        <bottom/>
      </border>
    </dxf>
    <dxf>
      <font>
        <color theme="0"/>
      </font>
      <fill>
        <patternFill>
          <bgColor theme="0"/>
        </patternFill>
      </fill>
      <border>
        <left/>
        <right/>
        <top/>
        <bottom/>
        <vertical/>
        <horizontal/>
      </border>
    </dxf>
    <dxf>
      <font>
        <b/>
        <i val="0"/>
        <color theme="9" tint="-0.499984740745262"/>
      </font>
      <fill>
        <patternFill>
          <bgColor rgb="FFFFFF99"/>
        </patternFill>
      </fill>
    </dxf>
    <dxf>
      <font>
        <b/>
        <i val="0"/>
        <color rgb="FF006666"/>
      </font>
      <fill>
        <patternFill>
          <bgColor theme="6" tint="0.39994506668294322"/>
        </patternFill>
      </fill>
    </dxf>
    <dxf>
      <font>
        <b/>
        <i val="0"/>
        <color rgb="FFFF0000"/>
      </font>
      <fill>
        <patternFill>
          <bgColor rgb="FFFFCCCC"/>
        </patternFill>
      </fill>
    </dxf>
    <dxf>
      <font>
        <b/>
        <i val="0"/>
        <color rgb="FFFFFF00"/>
      </font>
      <fill>
        <patternFill>
          <bgColor rgb="FFFF0000"/>
        </patternFill>
      </fill>
      <border>
        <left style="thin">
          <color auto="1"/>
        </left>
        <right style="thin">
          <color auto="1"/>
        </right>
        <top style="thin">
          <color auto="1"/>
        </top>
        <bottom style="thin">
          <color auto="1"/>
        </bottom>
      </border>
    </dxf>
    <dxf>
      <fill>
        <patternFill>
          <bgColor rgb="FFFF0000"/>
        </patternFill>
      </fill>
    </dxf>
    <dxf>
      <font>
        <b/>
        <i val="0"/>
        <color rgb="FFFFFF00"/>
      </font>
      <fill>
        <patternFill>
          <bgColor rgb="FFC00000"/>
        </patternFill>
      </fill>
    </dxf>
    <dxf>
      <font>
        <b/>
        <i val="0"/>
        <color rgb="FFC00000"/>
      </font>
      <fill>
        <patternFill>
          <bgColor rgb="FFC00000"/>
        </patternFill>
      </fill>
    </dxf>
    <dxf>
      <font>
        <b/>
        <i val="0"/>
        <color rgb="FFFFFF00"/>
      </font>
      <fill>
        <patternFill>
          <bgColor rgb="FFFF0000"/>
        </patternFill>
      </fill>
    </dxf>
    <dxf>
      <font>
        <color theme="0" tint="-0.24994659260841701"/>
      </font>
      <fill>
        <patternFill>
          <bgColor theme="0" tint="-0.24994659260841701"/>
        </patternFill>
      </fill>
    </dxf>
    <dxf>
      <font>
        <b/>
        <i val="0"/>
        <color rgb="FFFFFF00"/>
      </font>
      <fill>
        <patternFill>
          <bgColor rgb="FFFF0000"/>
        </patternFill>
      </fill>
    </dxf>
    <dxf>
      <font>
        <color theme="0" tint="-0.24994659260841701"/>
      </font>
      <fill>
        <patternFill>
          <bgColor theme="0" tint="-0.24994659260841701"/>
        </patternFill>
      </fill>
    </dxf>
    <dxf>
      <font>
        <b/>
        <i val="0"/>
        <color rgb="FFC00000"/>
      </font>
      <fill>
        <patternFill>
          <bgColor theme="0" tint="-0.24994659260841701"/>
        </patternFill>
      </fill>
    </dxf>
    <dxf>
      <font>
        <color rgb="FFFFFF00"/>
      </font>
      <fill>
        <patternFill>
          <bgColor rgb="FFFF0000"/>
        </patternFill>
      </fill>
    </dxf>
    <dxf>
      <font>
        <b/>
        <i val="0"/>
        <color rgb="FFC00000"/>
      </font>
      <fill>
        <patternFill>
          <bgColor rgb="FFC00000"/>
        </patternFill>
      </fill>
    </dxf>
    <dxf>
      <font>
        <b/>
        <i val="0"/>
        <condense val="0"/>
        <extend val="0"/>
        <color indexed="10"/>
      </font>
    </dxf>
    <dxf>
      <font>
        <b/>
        <i val="0"/>
        <condense val="0"/>
        <extend val="0"/>
        <color indexed="21"/>
      </font>
    </dxf>
    <dxf>
      <font>
        <b/>
        <i val="0"/>
        <color rgb="FFFFFF00"/>
      </font>
      <fill>
        <patternFill>
          <bgColor rgb="FFFF0000"/>
        </patternFill>
      </fill>
    </dxf>
    <dxf>
      <font>
        <color theme="0" tint="-0.24994659260841701"/>
      </font>
    </dxf>
    <dxf>
      <font>
        <b/>
        <i val="0"/>
        <color theme="0" tint="-0.24994659260841701"/>
      </font>
      <fill>
        <patternFill>
          <bgColor theme="0" tint="-0.499984740745262"/>
        </patternFill>
      </fill>
    </dxf>
    <dxf>
      <font>
        <color theme="9" tint="-0.499984740745262"/>
      </font>
    </dxf>
    <dxf>
      <font>
        <b/>
        <i val="0"/>
        <color rgb="FFFFFF00"/>
      </font>
      <fill>
        <patternFill>
          <bgColor rgb="FFC00000"/>
        </patternFill>
      </fill>
    </dxf>
    <dxf>
      <font>
        <b/>
        <i val="0"/>
        <color rgb="FFFFFF00"/>
      </font>
      <fill>
        <patternFill>
          <bgColor rgb="FFC00000"/>
        </patternFill>
      </fill>
    </dxf>
    <dxf>
      <font>
        <b/>
        <i val="0"/>
        <color theme="1"/>
      </font>
      <fill>
        <patternFill>
          <bgColor theme="0"/>
        </patternFill>
      </fill>
    </dxf>
    <dxf>
      <font>
        <b/>
        <i val="0"/>
        <color theme="1" tint="0.24994659260841701"/>
      </font>
      <fill>
        <patternFill>
          <bgColor rgb="FF969696"/>
        </patternFill>
      </fill>
    </dxf>
    <dxf>
      <font>
        <b/>
        <i val="0"/>
        <color rgb="FFFFFF00"/>
      </font>
      <fill>
        <patternFill>
          <bgColor rgb="FFC00000"/>
        </patternFill>
      </fill>
    </dxf>
    <dxf>
      <font>
        <b/>
        <i val="0"/>
        <color rgb="FFC00000"/>
      </font>
      <fill>
        <patternFill>
          <bgColor rgb="FFC00000"/>
        </patternFill>
      </fill>
    </dxf>
    <dxf>
      <font>
        <b/>
        <i val="0"/>
        <color rgb="FFC00000"/>
      </font>
      <fill>
        <patternFill>
          <bgColor rgb="FFC00000"/>
        </patternFill>
      </fill>
    </dxf>
    <dxf>
      <font>
        <b/>
        <i val="0"/>
        <color theme="9" tint="-0.24994659260841701"/>
      </font>
      <fill>
        <patternFill>
          <bgColor theme="0" tint="-0.14996795556505021"/>
        </patternFill>
      </fill>
    </dxf>
    <dxf>
      <font>
        <b/>
        <i val="0"/>
        <color rgb="FF002060"/>
      </font>
      <fill>
        <patternFill>
          <bgColor theme="0" tint="-0.14996795556505021"/>
        </patternFill>
      </fill>
    </dxf>
    <dxf>
      <font>
        <b/>
        <i val="0"/>
        <color rgb="FFC00000"/>
      </font>
      <fill>
        <patternFill>
          <bgColor rgb="FFFFFFCC"/>
        </patternFill>
      </fill>
      <border>
        <left style="thin">
          <color auto="1"/>
        </left>
        <right style="thin">
          <color auto="1"/>
        </right>
        <top style="thin">
          <color auto="1"/>
        </top>
        <bottom style="thin">
          <color auto="1"/>
        </bottom>
        <vertical/>
        <horizontal/>
      </border>
    </dxf>
    <dxf>
      <font>
        <b/>
        <i val="0"/>
        <color rgb="FFC00000"/>
      </font>
      <fill>
        <patternFill>
          <bgColor rgb="FFFFFFCC"/>
        </patternFill>
      </fill>
      <border>
        <left style="thin">
          <color auto="1"/>
        </left>
        <right style="thin">
          <color auto="1"/>
        </right>
        <top style="thin">
          <color auto="1"/>
        </top>
        <bottom style="thin">
          <color auto="1"/>
        </bottom>
      </border>
    </dxf>
    <dxf>
      <font>
        <b/>
        <i val="0"/>
        <color rgb="FFC00000"/>
      </font>
      <fill>
        <patternFill>
          <bgColor rgb="FFC00000"/>
        </patternFill>
      </fill>
      <border>
        <right style="thin">
          <color auto="1"/>
        </right>
        <vertical/>
        <horizontal/>
      </border>
    </dxf>
    <dxf>
      <font>
        <color rgb="FFFF0000"/>
      </font>
      <fill>
        <patternFill>
          <bgColor rgb="FFFF0000"/>
        </patternFill>
      </fill>
    </dxf>
    <dxf>
      <font>
        <color rgb="FFFF0000"/>
      </font>
      <fill>
        <patternFill>
          <bgColor rgb="FFFF0000"/>
        </patternFill>
      </fill>
    </dxf>
    <dxf>
      <font>
        <b/>
        <i val="0"/>
        <color rgb="FFC00000"/>
      </font>
      <fill>
        <patternFill>
          <bgColor theme="9" tint="0.79998168889431442"/>
        </patternFill>
      </fill>
    </dxf>
    <dxf>
      <font>
        <b/>
        <i val="0"/>
        <color rgb="FFFF0000"/>
      </font>
      <fill>
        <patternFill>
          <bgColor rgb="FFFFFFCC"/>
        </patternFill>
      </fill>
      <border>
        <left style="thin">
          <color auto="1"/>
        </left>
        <right style="thin">
          <color auto="1"/>
        </right>
        <top style="thin">
          <color auto="1"/>
        </top>
        <bottom style="thin">
          <color auto="1"/>
        </bottom>
      </border>
    </dxf>
    <dxf>
      <font>
        <b/>
        <i val="0"/>
        <color rgb="FFC00000"/>
      </font>
    </dxf>
    <dxf>
      <font>
        <b/>
        <i val="0"/>
        <color theme="5"/>
      </font>
    </dxf>
    <dxf>
      <font>
        <b/>
        <i val="0"/>
        <color rgb="FFC00000"/>
      </font>
    </dxf>
    <dxf>
      <font>
        <b/>
        <i val="0"/>
        <color rgb="FFFFFF00"/>
      </font>
      <fill>
        <patternFill>
          <bgColor rgb="FFC00000"/>
        </patternFill>
      </fill>
    </dxf>
    <dxf>
      <font>
        <b/>
        <i val="0"/>
        <color rgb="FFFFFF00"/>
      </font>
      <fill>
        <patternFill>
          <bgColor rgb="FFC00000"/>
        </patternFill>
      </fill>
    </dxf>
    <dxf>
      <font>
        <b/>
        <i val="0"/>
        <color theme="0" tint="-0.499984740745262"/>
      </font>
      <fill>
        <patternFill>
          <bgColor theme="0" tint="-0.14996795556505021"/>
        </patternFill>
      </fill>
    </dxf>
    <dxf>
      <font>
        <b/>
        <i val="0"/>
        <color theme="9" tint="-0.499984740745262"/>
      </font>
      <fill>
        <patternFill>
          <bgColor theme="9" tint="0.59996337778862885"/>
        </patternFill>
      </fill>
    </dxf>
    <dxf>
      <font>
        <b/>
        <i val="0"/>
        <color theme="9" tint="-0.499984740745262"/>
      </font>
      <fill>
        <patternFill>
          <bgColor theme="9" tint="0.59996337778862885"/>
        </patternFill>
      </fill>
    </dxf>
    <dxf>
      <font>
        <b/>
        <i val="0"/>
        <color rgb="FF7030A0"/>
      </font>
    </dxf>
    <dxf>
      <font>
        <b/>
        <i val="0"/>
        <color rgb="FF7030A0"/>
      </font>
    </dxf>
    <dxf>
      <font>
        <b/>
        <i val="0"/>
        <color theme="0" tint="-0.499984740745262"/>
      </font>
    </dxf>
    <dxf>
      <font>
        <b/>
        <i val="0"/>
        <color theme="0" tint="-0.34998626667073579"/>
      </font>
    </dxf>
    <dxf>
      <font>
        <b/>
        <i val="0"/>
        <color theme="0" tint="-0.34998626667073579"/>
      </font>
    </dxf>
    <dxf>
      <fill>
        <patternFill>
          <bgColor rgb="FFFFFFCC"/>
        </patternFill>
      </fill>
    </dxf>
    <dxf>
      <font>
        <b/>
        <i val="0"/>
        <color rgb="FFC00000"/>
      </font>
    </dxf>
    <dxf>
      <font>
        <b/>
        <i val="0"/>
        <color rgb="FFC00000"/>
      </font>
    </dxf>
    <dxf>
      <font>
        <b/>
        <i val="0"/>
        <color theme="5"/>
      </font>
    </dxf>
    <dxf>
      <font>
        <b/>
        <i val="0"/>
        <color rgb="FFC00000"/>
      </font>
    </dxf>
    <dxf>
      <font>
        <b/>
        <i val="0"/>
        <color rgb="FFFFFF00"/>
      </font>
      <fill>
        <patternFill>
          <bgColor rgb="FFFF0000"/>
        </patternFill>
      </fill>
    </dxf>
    <dxf>
      <font>
        <b/>
        <i val="0"/>
        <color rgb="FFC00000"/>
      </font>
    </dxf>
    <dxf>
      <font>
        <b/>
        <i val="0"/>
        <color rgb="FFFFFF00"/>
      </font>
      <fill>
        <patternFill>
          <bgColor rgb="FFFF0000"/>
        </patternFill>
      </fill>
      <border>
        <left style="thin">
          <color auto="1"/>
        </left>
        <right style="thin">
          <color auto="1"/>
        </right>
        <top style="thin">
          <color auto="1"/>
        </top>
        <bottom style="thin">
          <color auto="1"/>
        </bottom>
        <vertical/>
        <horizontal/>
      </border>
    </dxf>
    <dxf>
      <font>
        <b/>
        <i val="0"/>
        <color rgb="FFFFFF00"/>
      </font>
      <fill>
        <patternFill>
          <bgColor rgb="FFFF0000"/>
        </patternFill>
      </fill>
    </dxf>
    <dxf>
      <font>
        <b/>
        <i val="0"/>
        <color rgb="FFFF0000"/>
      </font>
    </dxf>
    <dxf>
      <font>
        <b/>
        <i val="0"/>
        <color rgb="FFC00000"/>
      </font>
      <fill>
        <patternFill>
          <bgColor rgb="FFFFFFCC"/>
        </patternFill>
      </fill>
      <border>
        <left style="thin">
          <color auto="1"/>
        </left>
        <vertical/>
        <horizontal/>
      </border>
    </dxf>
    <dxf>
      <font>
        <b/>
        <i val="0"/>
        <color theme="1" tint="0.34998626667073579"/>
      </font>
      <fill>
        <patternFill>
          <bgColor theme="0" tint="-0.14996795556505021"/>
        </patternFill>
      </fill>
    </dxf>
    <dxf>
      <font>
        <b/>
        <i val="0"/>
        <color theme="0" tint="-0.499984740745262"/>
      </font>
      <fill>
        <patternFill>
          <bgColor theme="0" tint="-0.14996795556505021"/>
        </patternFill>
      </fill>
    </dxf>
    <dxf>
      <font>
        <color theme="7" tint="-0.24994659260841701"/>
      </font>
    </dxf>
    <dxf>
      <font>
        <b/>
        <i val="0"/>
        <color theme="0" tint="-0.14996795556505021"/>
      </font>
    </dxf>
    <dxf>
      <font>
        <b/>
        <i val="0"/>
        <color rgb="FFC00000"/>
      </font>
      <fill>
        <patternFill>
          <bgColor rgb="FFFFFFCC"/>
        </patternFill>
      </fill>
      <border>
        <left style="thin">
          <color auto="1"/>
        </left>
        <right style="thin">
          <color auto="1"/>
        </right>
        <top style="thin">
          <color auto="1"/>
        </top>
        <bottom style="thin">
          <color auto="1"/>
        </bottom>
        <vertical/>
        <horizontal/>
      </border>
    </dxf>
    <dxf>
      <font>
        <b/>
        <i val="0"/>
        <color rgb="FFFFFF00"/>
      </font>
      <fill>
        <patternFill>
          <bgColor rgb="FFC00000"/>
        </patternFill>
      </fill>
    </dxf>
    <dxf>
      <font>
        <b/>
        <i val="0"/>
        <color theme="0" tint="-0.499984740745262"/>
      </font>
      <fill>
        <patternFill>
          <bgColor theme="0" tint="-0.14996795556505021"/>
        </patternFill>
      </fill>
    </dxf>
    <dxf>
      <font>
        <b/>
        <i val="0"/>
        <color theme="0" tint="-0.499984740745262"/>
      </font>
      <fill>
        <patternFill>
          <bgColor theme="0" tint="-0.14996795556505021"/>
        </patternFill>
      </fill>
    </dxf>
    <dxf>
      <font>
        <b/>
        <i val="0"/>
        <color theme="0" tint="-0.499984740745262"/>
      </font>
      <fill>
        <patternFill>
          <bgColor theme="0" tint="-0.14996795556505021"/>
        </patternFill>
      </fill>
    </dxf>
    <dxf>
      <font>
        <b/>
        <i val="0"/>
        <color rgb="FFC00000"/>
      </font>
      <fill>
        <patternFill>
          <bgColor rgb="FFFFFFCC"/>
        </patternFill>
      </fill>
      <border>
        <left style="thin">
          <color auto="1"/>
        </left>
        <right style="thin">
          <color auto="1"/>
        </right>
        <top style="thin">
          <color auto="1"/>
        </top>
        <bottom style="thin">
          <color auto="1"/>
        </bottom>
        <vertical/>
        <horizontal/>
      </border>
    </dxf>
    <dxf>
      <font>
        <b/>
        <i val="0"/>
        <color theme="4" tint="-0.24994659260841701"/>
      </font>
    </dxf>
    <dxf>
      <font>
        <b/>
        <i val="0"/>
        <color theme="5"/>
      </font>
    </dxf>
    <dxf>
      <font>
        <b/>
        <i val="0"/>
        <color rgb="FF339966"/>
      </font>
    </dxf>
    <dxf>
      <font>
        <b/>
        <i val="0"/>
        <color rgb="FF002060"/>
      </font>
    </dxf>
    <dxf>
      <font>
        <b/>
        <i val="0"/>
        <color rgb="FFC00000"/>
      </font>
      <fill>
        <patternFill>
          <bgColor rgb="FFFFFFCC"/>
        </patternFill>
      </fill>
      <border>
        <left style="thin">
          <color auto="1"/>
        </left>
        <right style="thin">
          <color auto="1"/>
        </right>
        <top style="thin">
          <color auto="1"/>
        </top>
        <bottom style="thin">
          <color auto="1"/>
        </bottom>
        <vertical/>
        <horizontal/>
      </border>
    </dxf>
    <dxf>
      <font>
        <b/>
        <i val="0"/>
        <color rgb="FF008080"/>
      </font>
    </dxf>
    <dxf>
      <font>
        <b/>
        <i val="0"/>
        <color theme="9" tint="-0.24994659260841701"/>
      </font>
    </dxf>
    <dxf>
      <font>
        <b/>
        <i val="0"/>
        <color rgb="FFFF0000"/>
      </font>
    </dxf>
    <dxf>
      <font>
        <b/>
        <i val="0"/>
        <color rgb="FFFFFF00"/>
      </font>
      <fill>
        <patternFill>
          <bgColor rgb="FFC00000"/>
        </patternFill>
      </fill>
    </dxf>
    <dxf>
      <font>
        <color theme="7" tint="0.59996337778862885"/>
      </font>
    </dxf>
    <dxf>
      <font>
        <b/>
        <i val="0"/>
        <color theme="0" tint="-0.14996795556505021"/>
      </font>
      <fill>
        <patternFill>
          <bgColor theme="0" tint="-0.14996795556505021"/>
        </patternFill>
      </fill>
    </dxf>
    <dxf>
      <font>
        <b/>
        <i/>
        <condense val="0"/>
        <extend val="0"/>
        <color indexed="21"/>
      </font>
      <fill>
        <patternFill>
          <bgColor indexed="42"/>
        </patternFill>
      </fill>
    </dxf>
    <dxf>
      <font>
        <b/>
        <i val="0"/>
        <color theme="0" tint="-0.499984740745262"/>
      </font>
      <fill>
        <patternFill>
          <bgColor theme="0" tint="-0.14996795556505021"/>
        </patternFill>
      </fill>
    </dxf>
    <dxf>
      <font>
        <b/>
        <i val="0"/>
        <color theme="0" tint="-0.499984740745262"/>
      </font>
      <fill>
        <patternFill>
          <bgColor theme="0" tint="-0.14996795556505021"/>
        </patternFill>
      </fill>
    </dxf>
    <dxf>
      <font>
        <b/>
        <i val="0"/>
        <color rgb="FFC00000"/>
      </font>
      <fill>
        <patternFill>
          <bgColor rgb="FFC00000"/>
        </patternFill>
      </fill>
      <border>
        <left style="thin">
          <color auto="1"/>
        </left>
        <vertical/>
        <horizontal/>
      </border>
    </dxf>
    <dxf>
      <font>
        <b/>
        <i val="0"/>
        <color rgb="FFFF0000"/>
      </font>
    </dxf>
    <dxf>
      <font>
        <b/>
        <i val="0"/>
        <color rgb="FFFFFF00"/>
      </font>
      <fill>
        <patternFill>
          <bgColor rgb="FFC0000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99"/>
      <rgbColor rgb="00FF00FF"/>
      <rgbColor rgb="0000FFFF"/>
      <rgbColor rgb="00800000"/>
      <rgbColor rgb="00008000"/>
      <rgbColor rgb="00000080"/>
      <rgbColor rgb="00808000"/>
      <rgbColor rgb="00800080"/>
      <rgbColor rgb="00008080"/>
      <rgbColor rgb="00D1D1D1"/>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CC"/>
      <color rgb="FF006666"/>
      <color rgb="FFFFC7CE"/>
      <color rgb="FFFF9966"/>
      <color rgb="FF808080"/>
      <color rgb="FF008080"/>
      <color rgb="FFFF3300"/>
      <color rgb="FF969696"/>
      <color rgb="FFFFCCFF"/>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s>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tabColor rgb="FF008080"/>
    <pageSetUpPr autoPageBreaks="0"/>
  </sheetPr>
  <dimension ref="A1:P81"/>
  <sheetViews>
    <sheetView showGridLines="0" showRowColHeaders="0" tabSelected="1" zoomScaleNormal="100" workbookViewId="0">
      <pane ySplit="5" topLeftCell="A6" activePane="bottomLeft" state="frozen"/>
      <selection activeCell="H8" sqref="H8:I8"/>
      <selection pane="bottomLeft" activeCell="I56" sqref="I56"/>
    </sheetView>
  </sheetViews>
  <sheetFormatPr baseColWidth="10" defaultColWidth="9.77734375" defaultRowHeight="15"/>
  <cols>
    <col min="1" max="1" width="1.5546875" style="79" customWidth="1"/>
    <col min="2" max="2" width="1" style="79" hidden="1" customWidth="1"/>
    <col min="3" max="3" width="2.109375" style="173" customWidth="1"/>
    <col min="4" max="4" width="4.609375" style="78" customWidth="1"/>
    <col min="5" max="5" width="5.609375" style="78" customWidth="1"/>
    <col min="6" max="6" width="3.5546875" style="78" customWidth="1"/>
    <col min="7" max="7" width="22.109375" style="78" customWidth="1"/>
    <col min="8" max="8" width="26" style="78" customWidth="1"/>
    <col min="9" max="9" width="18.5546875" style="78" customWidth="1"/>
    <col min="10" max="10" width="2.109375" style="78" customWidth="1"/>
    <col min="11" max="11" width="1.21875" style="73" customWidth="1"/>
    <col min="12" max="12" width="1.77734375" style="78" customWidth="1"/>
    <col min="13" max="13" width="9.77734375" style="78" bestFit="1" customWidth="1"/>
    <col min="14" max="16384" width="9.77734375" style="78"/>
  </cols>
  <sheetData>
    <row r="1" spans="1:16" s="96" customFormat="1" ht="3" customHeight="1">
      <c r="A1" s="39"/>
      <c r="C1" s="173"/>
      <c r="K1" s="73"/>
    </row>
    <row r="2" spans="1:16" s="96" customFormat="1" ht="5.0999999999999996" customHeight="1">
      <c r="C2" s="1150"/>
      <c r="D2" s="1151"/>
      <c r="E2" s="1151"/>
      <c r="F2" s="1151"/>
      <c r="G2" s="1152"/>
      <c r="H2" s="1151"/>
      <c r="I2" s="1151"/>
      <c r="J2" s="1153"/>
      <c r="K2" s="73"/>
    </row>
    <row r="3" spans="1:16" s="97" customFormat="1" ht="26.1" customHeight="1">
      <c r="B3" s="98"/>
      <c r="C3" s="168"/>
      <c r="D3" s="1158" t="s">
        <v>185</v>
      </c>
      <c r="E3" s="1158"/>
      <c r="F3" s="1158"/>
      <c r="G3" s="1158"/>
      <c r="H3" s="1158"/>
      <c r="I3" s="166">
        <v>46023</v>
      </c>
      <c r="J3" s="888"/>
      <c r="K3" s="73"/>
    </row>
    <row r="4" spans="1:16" ht="26.1" customHeight="1">
      <c r="C4" s="167" t="s">
        <v>5</v>
      </c>
      <c r="D4" s="1159"/>
      <c r="E4" s="1159"/>
      <c r="F4" s="1159"/>
      <c r="G4" s="1160"/>
      <c r="H4" s="1159"/>
      <c r="I4" s="893"/>
      <c r="J4" s="889"/>
    </row>
    <row r="5" spans="1:16" s="99" customFormat="1" ht="5.25" customHeight="1">
      <c r="C5" s="169" t="s">
        <v>5</v>
      </c>
      <c r="K5" s="100"/>
    </row>
    <row r="6" spans="1:16" s="96" customFormat="1" ht="8.1" customHeight="1">
      <c r="A6" s="39"/>
      <c r="C6" s="339" t="s">
        <v>63</v>
      </c>
      <c r="D6" s="101"/>
      <c r="E6" s="101"/>
      <c r="F6" s="101"/>
      <c r="G6" s="316"/>
      <c r="H6" s="101"/>
      <c r="I6" s="101"/>
      <c r="J6" s="324"/>
      <c r="K6" s="73"/>
    </row>
    <row r="7" spans="1:16" s="104" customFormat="1" ht="17.649999999999999">
      <c r="A7" s="102"/>
      <c r="B7" s="102"/>
      <c r="C7" s="340" t="s">
        <v>63</v>
      </c>
      <c r="D7" s="1161" t="s">
        <v>0</v>
      </c>
      <c r="E7" s="1162"/>
      <c r="F7" s="1162"/>
      <c r="G7" s="1163"/>
      <c r="H7" s="1162"/>
      <c r="I7" s="1164"/>
      <c r="J7" s="325"/>
      <c r="K7" s="103"/>
      <c r="N7" s="79"/>
      <c r="O7" s="79"/>
      <c r="P7" s="79"/>
    </row>
    <row r="8" spans="1:16" s="79" customFormat="1">
      <c r="A8" s="105"/>
      <c r="B8" s="105"/>
      <c r="C8" s="170" t="s">
        <v>63</v>
      </c>
      <c r="D8" s="115" t="s">
        <v>191</v>
      </c>
      <c r="E8" s="106">
        <v>112</v>
      </c>
      <c r="F8" s="1155" t="s">
        <v>9</v>
      </c>
      <c r="G8" s="1156"/>
      <c r="H8" s="1157"/>
      <c r="I8" s="266">
        <f>+'E01'!$J$48</f>
        <v>0</v>
      </c>
      <c r="J8" s="326"/>
      <c r="K8" s="107">
        <f>IF(C8="x",IF(I8&lt;&gt;0,1,0),0)</f>
        <v>0</v>
      </c>
      <c r="M8" s="108"/>
      <c r="N8" s="108"/>
    </row>
    <row r="9" spans="1:16" s="79" customFormat="1">
      <c r="A9" s="105"/>
      <c r="B9" s="105"/>
      <c r="C9" s="170" t="s">
        <v>63</v>
      </c>
      <c r="D9" s="115" t="s">
        <v>97</v>
      </c>
      <c r="E9" s="106">
        <v>103</v>
      </c>
      <c r="F9" s="1155" t="s">
        <v>48</v>
      </c>
      <c r="G9" s="1156"/>
      <c r="H9" s="1157"/>
      <c r="I9" s="266">
        <f>+'E02'!$J$48</f>
        <v>0</v>
      </c>
      <c r="J9" s="326"/>
      <c r="K9" s="107">
        <f t="shared" ref="K9:K57" si="0">IF(C9="x",IF(I9&lt;&gt;0,1,0),0)</f>
        <v>0</v>
      </c>
      <c r="M9" s="108"/>
      <c r="N9" s="108"/>
    </row>
    <row r="10" spans="1:16" s="79" customFormat="1">
      <c r="A10" s="105"/>
      <c r="B10" s="105"/>
      <c r="C10" s="170" t="s">
        <v>63</v>
      </c>
      <c r="D10" s="115" t="s">
        <v>98</v>
      </c>
      <c r="E10" s="106">
        <v>102</v>
      </c>
      <c r="F10" s="1155" t="s">
        <v>62</v>
      </c>
      <c r="G10" s="1156"/>
      <c r="H10" s="1157"/>
      <c r="I10" s="266">
        <f>+'E03'!$J$48</f>
        <v>0</v>
      </c>
      <c r="J10" s="326"/>
      <c r="K10" s="107">
        <f t="shared" si="0"/>
        <v>0</v>
      </c>
      <c r="M10" s="108"/>
      <c r="N10" s="108"/>
    </row>
    <row r="11" spans="1:16" s="79" customFormat="1">
      <c r="A11" s="105"/>
      <c r="B11" s="105"/>
      <c r="C11" s="170" t="s">
        <v>63</v>
      </c>
      <c r="D11" s="115" t="s">
        <v>99</v>
      </c>
      <c r="E11" s="106">
        <v>106</v>
      </c>
      <c r="F11" s="1155" t="s">
        <v>11</v>
      </c>
      <c r="G11" s="1156"/>
      <c r="H11" s="1157"/>
      <c r="I11" s="266">
        <f>+'E04'!$J$48</f>
        <v>0</v>
      </c>
      <c r="J11" s="326"/>
      <c r="K11" s="107">
        <f t="shared" si="0"/>
        <v>0</v>
      </c>
      <c r="M11" s="108"/>
      <c r="N11" s="108"/>
    </row>
    <row r="12" spans="1:16" s="79" customFormat="1">
      <c r="A12" s="105"/>
      <c r="B12" s="105"/>
      <c r="C12" s="170" t="s">
        <v>63</v>
      </c>
      <c r="D12" s="115" t="s">
        <v>100</v>
      </c>
      <c r="E12" s="106">
        <v>108</v>
      </c>
      <c r="F12" s="1155" t="s">
        <v>12</v>
      </c>
      <c r="G12" s="1156"/>
      <c r="H12" s="1157"/>
      <c r="I12" s="266">
        <f>+'E05'!$J$48</f>
        <v>0</v>
      </c>
      <c r="J12" s="326"/>
      <c r="K12" s="107">
        <f t="shared" si="0"/>
        <v>0</v>
      </c>
      <c r="M12" s="108"/>
      <c r="N12" s="108"/>
    </row>
    <row r="13" spans="1:16" s="79" customFormat="1">
      <c r="A13" s="105"/>
      <c r="B13" s="105"/>
      <c r="C13" s="170" t="s">
        <v>63</v>
      </c>
      <c r="D13" s="186" t="s">
        <v>193</v>
      </c>
      <c r="E13" s="215">
        <v>140</v>
      </c>
      <c r="F13" s="1147" t="s">
        <v>10</v>
      </c>
      <c r="G13" s="1148"/>
      <c r="H13" s="1149"/>
      <c r="I13" s="268">
        <f>+'U06'!$J$48</f>
        <v>0</v>
      </c>
      <c r="J13" s="326"/>
      <c r="K13" s="107">
        <f t="shared" si="0"/>
        <v>0</v>
      </c>
      <c r="M13" s="108"/>
      <c r="N13" s="108"/>
    </row>
    <row r="14" spans="1:16" s="79" customFormat="1">
      <c r="A14" s="105"/>
      <c r="B14" s="105"/>
      <c r="C14" s="170" t="s">
        <v>63</v>
      </c>
      <c r="D14" s="186" t="s">
        <v>194</v>
      </c>
      <c r="E14" s="215">
        <v>141</v>
      </c>
      <c r="F14" s="1147" t="s">
        <v>49</v>
      </c>
      <c r="G14" s="1148"/>
      <c r="H14" s="1149"/>
      <c r="I14" s="268">
        <f>+'U07'!$J$48</f>
        <v>0</v>
      </c>
      <c r="J14" s="326"/>
      <c r="K14" s="107">
        <f t="shared" si="0"/>
        <v>0</v>
      </c>
      <c r="M14" s="108"/>
      <c r="N14" s="108"/>
    </row>
    <row r="15" spans="1:16" s="79" customFormat="1" ht="17.649999999999999">
      <c r="A15" s="105"/>
      <c r="B15" s="105"/>
      <c r="C15" s="340" t="s">
        <v>63</v>
      </c>
      <c r="D15" s="8"/>
      <c r="E15" s="8"/>
      <c r="F15" s="9"/>
      <c r="G15" s="9"/>
      <c r="H15" s="33" t="s">
        <v>0</v>
      </c>
      <c r="I15" s="34">
        <f>SUM(I7:I14)</f>
        <v>0</v>
      </c>
      <c r="J15" s="327"/>
      <c r="K15" s="107"/>
    </row>
    <row r="16" spans="1:16" s="104" customFormat="1" ht="17.649999999999999">
      <c r="A16" s="102"/>
      <c r="B16" s="102"/>
      <c r="C16" s="340" t="s">
        <v>63</v>
      </c>
      <c r="D16" s="1137" t="s">
        <v>13</v>
      </c>
      <c r="E16" s="1138"/>
      <c r="F16" s="1138" t="s">
        <v>3</v>
      </c>
      <c r="G16" s="1139"/>
      <c r="H16" s="1138"/>
      <c r="I16" s="1140"/>
      <c r="J16" s="328"/>
      <c r="K16" s="107"/>
    </row>
    <row r="17" spans="3:11" s="104" customFormat="1">
      <c r="C17" s="170" t="s">
        <v>63</v>
      </c>
      <c r="D17" s="186" t="s">
        <v>195</v>
      </c>
      <c r="E17" s="215">
        <v>185</v>
      </c>
      <c r="F17" s="1147" t="s">
        <v>24</v>
      </c>
      <c r="G17" s="1148"/>
      <c r="H17" s="1149"/>
      <c r="I17" s="268">
        <f>+'U08'!$J$48</f>
        <v>0</v>
      </c>
      <c r="J17" s="328"/>
      <c r="K17" s="107">
        <f t="shared" si="0"/>
        <v>0</v>
      </c>
    </row>
    <row r="18" spans="3:11" s="104" customFormat="1">
      <c r="C18" s="170" t="s">
        <v>63</v>
      </c>
      <c r="D18" s="186" t="s">
        <v>196</v>
      </c>
      <c r="E18" s="215">
        <v>186</v>
      </c>
      <c r="F18" s="1147" t="s">
        <v>25</v>
      </c>
      <c r="G18" s="1148"/>
      <c r="H18" s="1149"/>
      <c r="I18" s="268">
        <f>+'U09'!$J$48</f>
        <v>0</v>
      </c>
      <c r="J18" s="328"/>
      <c r="K18" s="107">
        <f t="shared" si="0"/>
        <v>0</v>
      </c>
    </row>
    <row r="19" spans="3:11" s="104" customFormat="1">
      <c r="C19" s="170" t="s">
        <v>63</v>
      </c>
      <c r="D19" s="214" t="s">
        <v>188</v>
      </c>
      <c r="E19" s="223">
        <v>131</v>
      </c>
      <c r="F19" s="1144" t="s">
        <v>52</v>
      </c>
      <c r="G19" s="1145"/>
      <c r="H19" s="1146"/>
      <c r="I19" s="269">
        <f>+'O10'!$J$48</f>
        <v>0</v>
      </c>
      <c r="J19" s="328"/>
      <c r="K19" s="107">
        <f t="shared" si="0"/>
        <v>0</v>
      </c>
    </row>
    <row r="20" spans="3:11" s="104" customFormat="1">
      <c r="C20" s="170" t="s">
        <v>63</v>
      </c>
      <c r="D20" s="214" t="s">
        <v>189</v>
      </c>
      <c r="E20" s="223">
        <v>136</v>
      </c>
      <c r="F20" s="1144" t="s">
        <v>51</v>
      </c>
      <c r="G20" s="1145"/>
      <c r="H20" s="1146"/>
      <c r="I20" s="269">
        <f>+'O11'!$J$48</f>
        <v>0</v>
      </c>
      <c r="J20" s="328"/>
      <c r="K20" s="107">
        <f t="shared" si="0"/>
        <v>0</v>
      </c>
    </row>
    <row r="21" spans="3:11" s="104" customFormat="1">
      <c r="C21" s="170" t="s">
        <v>63</v>
      </c>
      <c r="D21" s="214" t="s">
        <v>190</v>
      </c>
      <c r="E21" s="223">
        <v>130</v>
      </c>
      <c r="F21" s="1144" t="s">
        <v>15</v>
      </c>
      <c r="G21" s="1145"/>
      <c r="H21" s="1146"/>
      <c r="I21" s="269">
        <f>+'O12'!$J$48</f>
        <v>-1000</v>
      </c>
      <c r="J21" s="328"/>
      <c r="K21" s="107">
        <f t="shared" si="0"/>
        <v>0</v>
      </c>
    </row>
    <row r="22" spans="3:11" s="104" customFormat="1">
      <c r="C22" s="170" t="s">
        <v>63</v>
      </c>
      <c r="D22" s="213" t="s">
        <v>67</v>
      </c>
      <c r="E22" s="207">
        <v>100</v>
      </c>
      <c r="F22" s="1141" t="s">
        <v>163</v>
      </c>
      <c r="G22" s="1142"/>
      <c r="H22" s="1143"/>
      <c r="I22" s="267">
        <f>+'A01'!$J$48</f>
        <v>0</v>
      </c>
      <c r="J22" s="326"/>
      <c r="K22" s="107">
        <f t="shared" si="0"/>
        <v>0</v>
      </c>
    </row>
    <row r="23" spans="3:11" s="104" customFormat="1">
      <c r="C23" s="170" t="s">
        <v>63</v>
      </c>
      <c r="D23" s="213" t="s">
        <v>68</v>
      </c>
      <c r="E23" s="207">
        <v>110</v>
      </c>
      <c r="F23" s="1141" t="s">
        <v>50</v>
      </c>
      <c r="G23" s="1142"/>
      <c r="H23" s="1143"/>
      <c r="I23" s="267">
        <f>+'A02'!$J$48</f>
        <v>0</v>
      </c>
      <c r="J23" s="326"/>
      <c r="K23" s="107">
        <f t="shared" si="0"/>
        <v>0</v>
      </c>
    </row>
    <row r="24" spans="3:11" s="109" customFormat="1">
      <c r="C24" s="170" t="s">
        <v>63</v>
      </c>
      <c r="D24" s="213" t="s">
        <v>69</v>
      </c>
      <c r="E24" s="207">
        <v>120</v>
      </c>
      <c r="F24" s="1141" t="s">
        <v>14</v>
      </c>
      <c r="G24" s="1142"/>
      <c r="H24" s="1143"/>
      <c r="I24" s="267">
        <f>+'A03'!$J$48</f>
        <v>0</v>
      </c>
      <c r="J24" s="326"/>
      <c r="K24" s="107">
        <f t="shared" si="0"/>
        <v>0</v>
      </c>
    </row>
    <row r="25" spans="3:11" s="109" customFormat="1">
      <c r="C25" s="170" t="s">
        <v>63</v>
      </c>
      <c r="D25" s="213" t="s">
        <v>70</v>
      </c>
      <c r="E25" s="207">
        <v>132</v>
      </c>
      <c r="F25" s="1141" t="s">
        <v>16</v>
      </c>
      <c r="G25" s="1142"/>
      <c r="H25" s="1143"/>
      <c r="I25" s="267">
        <f>+'A04'!$J$48</f>
        <v>0</v>
      </c>
      <c r="J25" s="326"/>
      <c r="K25" s="107">
        <f t="shared" si="0"/>
        <v>0</v>
      </c>
    </row>
    <row r="26" spans="3:11" s="109" customFormat="1">
      <c r="C26" s="170" t="s">
        <v>63</v>
      </c>
      <c r="D26" s="213" t="s">
        <v>71</v>
      </c>
      <c r="E26" s="207">
        <v>135</v>
      </c>
      <c r="F26" s="1141" t="s">
        <v>17</v>
      </c>
      <c r="G26" s="1142"/>
      <c r="H26" s="1143"/>
      <c r="I26" s="267">
        <f>+'A05'!$J$48</f>
        <v>0</v>
      </c>
      <c r="J26" s="326"/>
      <c r="K26" s="107">
        <f t="shared" si="0"/>
        <v>0</v>
      </c>
    </row>
    <row r="27" spans="3:11" s="109" customFormat="1">
      <c r="C27" s="170" t="s">
        <v>63</v>
      </c>
      <c r="D27" s="213" t="s">
        <v>72</v>
      </c>
      <c r="E27" s="207">
        <v>150</v>
      </c>
      <c r="F27" s="1141" t="s">
        <v>18</v>
      </c>
      <c r="G27" s="1142"/>
      <c r="H27" s="1143"/>
      <c r="I27" s="267">
        <f>+'A06'!$J$48</f>
        <v>0</v>
      </c>
      <c r="J27" s="326"/>
      <c r="K27" s="107">
        <f t="shared" si="0"/>
        <v>0</v>
      </c>
    </row>
    <row r="28" spans="3:11" s="109" customFormat="1">
      <c r="C28" s="170" t="s">
        <v>63</v>
      </c>
      <c r="D28" s="213" t="s">
        <v>73</v>
      </c>
      <c r="E28" s="207">
        <v>152</v>
      </c>
      <c r="F28" s="1141" t="s">
        <v>199</v>
      </c>
      <c r="G28" s="1142"/>
      <c r="H28" s="1143"/>
      <c r="I28" s="267">
        <f>+'A07'!$J$48</f>
        <v>0</v>
      </c>
      <c r="J28" s="326"/>
      <c r="K28" s="107">
        <f t="shared" si="0"/>
        <v>0</v>
      </c>
    </row>
    <row r="29" spans="3:11" s="109" customFormat="1">
      <c r="C29" s="170" t="s">
        <v>63</v>
      </c>
      <c r="D29" s="213" t="s">
        <v>74</v>
      </c>
      <c r="E29" s="207">
        <v>280</v>
      </c>
      <c r="F29" s="218" t="s">
        <v>19</v>
      </c>
      <c r="G29" s="317"/>
      <c r="H29" s="219"/>
      <c r="I29" s="267">
        <f>+'A08'!$J$48</f>
        <v>0</v>
      </c>
      <c r="J29" s="326"/>
      <c r="K29" s="107">
        <f t="shared" si="0"/>
        <v>0</v>
      </c>
    </row>
    <row r="30" spans="3:11" s="109" customFormat="1">
      <c r="C30" s="170" t="s">
        <v>63</v>
      </c>
      <c r="D30" s="213" t="s">
        <v>75</v>
      </c>
      <c r="E30" s="207">
        <v>221</v>
      </c>
      <c r="F30" s="218" t="s">
        <v>20</v>
      </c>
      <c r="G30" s="317"/>
      <c r="H30" s="219"/>
      <c r="I30" s="267">
        <f>+'A09'!$J$48</f>
        <v>0</v>
      </c>
      <c r="J30" s="326"/>
      <c r="K30" s="107">
        <f t="shared" si="0"/>
        <v>0</v>
      </c>
    </row>
    <row r="31" spans="3:11" s="109" customFormat="1">
      <c r="C31" s="170" t="s">
        <v>63</v>
      </c>
      <c r="D31" s="213" t="s">
        <v>76</v>
      </c>
      <c r="E31" s="207">
        <v>281</v>
      </c>
      <c r="F31" s="218" t="s">
        <v>53</v>
      </c>
      <c r="G31" s="317"/>
      <c r="H31" s="219"/>
      <c r="I31" s="267">
        <f>+'A10'!$J$48</f>
        <v>0</v>
      </c>
      <c r="J31" s="326"/>
      <c r="K31" s="107">
        <f t="shared" si="0"/>
        <v>0</v>
      </c>
    </row>
    <row r="32" spans="3:11" s="109" customFormat="1">
      <c r="C32" s="170" t="s">
        <v>63</v>
      </c>
      <c r="D32" s="213" t="s">
        <v>77</v>
      </c>
      <c r="E32" s="207">
        <v>294</v>
      </c>
      <c r="F32" s="218" t="s">
        <v>54</v>
      </c>
      <c r="G32" s="317"/>
      <c r="H32" s="219"/>
      <c r="I32" s="267">
        <f>+'A11'!$J$48</f>
        <v>0</v>
      </c>
      <c r="J32" s="326"/>
      <c r="K32" s="107">
        <f t="shared" si="0"/>
        <v>0</v>
      </c>
    </row>
    <row r="33" spans="3:11" s="109" customFormat="1">
      <c r="C33" s="170" t="s">
        <v>63</v>
      </c>
      <c r="D33" s="213" t="s">
        <v>78</v>
      </c>
      <c r="E33" s="207">
        <v>222</v>
      </c>
      <c r="F33" s="218" t="s">
        <v>204</v>
      </c>
      <c r="G33" s="317"/>
      <c r="H33" s="219"/>
      <c r="I33" s="267">
        <f>+'A12'!$J$48</f>
        <v>0</v>
      </c>
      <c r="J33" s="326"/>
      <c r="K33" s="107">
        <f t="shared" si="0"/>
        <v>0</v>
      </c>
    </row>
    <row r="34" spans="3:11" s="109" customFormat="1">
      <c r="C34" s="170" t="s">
        <v>63</v>
      </c>
      <c r="D34" s="213" t="s">
        <v>79</v>
      </c>
      <c r="E34" s="207">
        <v>225</v>
      </c>
      <c r="F34" s="218" t="s">
        <v>2</v>
      </c>
      <c r="G34" s="317"/>
      <c r="H34" s="219"/>
      <c r="I34" s="267">
        <f>+'A13'!$J$48</f>
        <v>0</v>
      </c>
      <c r="J34" s="326"/>
      <c r="K34" s="107">
        <f t="shared" si="0"/>
        <v>0</v>
      </c>
    </row>
    <row r="35" spans="3:11" s="109" customFormat="1">
      <c r="C35" s="170" t="s">
        <v>63</v>
      </c>
      <c r="D35" s="213" t="s">
        <v>80</v>
      </c>
      <c r="E35" s="207">
        <v>223</v>
      </c>
      <c r="F35" s="218" t="s">
        <v>35</v>
      </c>
      <c r="G35" s="317"/>
      <c r="H35" s="219"/>
      <c r="I35" s="267">
        <f>+'A14'!$J$48</f>
        <v>0</v>
      </c>
      <c r="J35" s="326"/>
      <c r="K35" s="107">
        <f t="shared" si="0"/>
        <v>0</v>
      </c>
    </row>
    <row r="36" spans="3:11" s="109" customFormat="1">
      <c r="C36" s="170" t="s">
        <v>63</v>
      </c>
      <c r="D36" s="213" t="s">
        <v>81</v>
      </c>
      <c r="E36" s="207">
        <v>228</v>
      </c>
      <c r="F36" s="218" t="s">
        <v>21</v>
      </c>
      <c r="G36" s="317"/>
      <c r="H36" s="219"/>
      <c r="I36" s="267">
        <f>+'A15'!$J$48</f>
        <v>0</v>
      </c>
      <c r="J36" s="326"/>
      <c r="K36" s="107">
        <f t="shared" si="0"/>
        <v>0</v>
      </c>
    </row>
    <row r="37" spans="3:11" s="109" customFormat="1">
      <c r="C37" s="170" t="s">
        <v>63</v>
      </c>
      <c r="D37" s="213" t="s">
        <v>82</v>
      </c>
      <c r="E37" s="207">
        <v>229</v>
      </c>
      <c r="F37" s="218" t="s">
        <v>22</v>
      </c>
      <c r="G37" s="317"/>
      <c r="H37" s="219"/>
      <c r="I37" s="267">
        <f>+'A16'!$J$48</f>
        <v>0</v>
      </c>
      <c r="J37" s="326"/>
      <c r="K37" s="107">
        <f t="shared" si="0"/>
        <v>0</v>
      </c>
    </row>
    <row r="38" spans="3:11" s="109" customFormat="1">
      <c r="C38" s="170" t="s">
        <v>63</v>
      </c>
      <c r="D38" s="213" t="s">
        <v>83</v>
      </c>
      <c r="E38" s="207">
        <v>226</v>
      </c>
      <c r="F38" s="218" t="s">
        <v>55</v>
      </c>
      <c r="G38" s="317"/>
      <c r="H38" s="219"/>
      <c r="I38" s="267">
        <f>+'A17'!$J$48</f>
        <v>0</v>
      </c>
      <c r="J38" s="326"/>
      <c r="K38" s="107">
        <f t="shared" si="0"/>
        <v>0</v>
      </c>
    </row>
    <row r="39" spans="3:11" s="109" customFormat="1">
      <c r="C39" s="170" t="s">
        <v>63</v>
      </c>
      <c r="D39" s="213" t="s">
        <v>84</v>
      </c>
      <c r="E39" s="207">
        <v>227</v>
      </c>
      <c r="F39" s="218" t="s">
        <v>56</v>
      </c>
      <c r="G39" s="317"/>
      <c r="H39" s="219"/>
      <c r="I39" s="267">
        <f>+'A18'!$J$48</f>
        <v>0</v>
      </c>
      <c r="J39" s="326"/>
      <c r="K39" s="107">
        <f t="shared" si="0"/>
        <v>0</v>
      </c>
    </row>
    <row r="40" spans="3:11" s="109" customFormat="1">
      <c r="C40" s="170" t="s">
        <v>63</v>
      </c>
      <c r="D40" s="213" t="s">
        <v>85</v>
      </c>
      <c r="E40" s="207">
        <v>224</v>
      </c>
      <c r="F40" s="218" t="s">
        <v>23</v>
      </c>
      <c r="G40" s="317"/>
      <c r="H40" s="219"/>
      <c r="I40" s="267">
        <f>+'A19'!$J$48</f>
        <v>0</v>
      </c>
      <c r="J40" s="326"/>
      <c r="K40" s="107">
        <f t="shared" si="0"/>
        <v>0</v>
      </c>
    </row>
    <row r="41" spans="3:11" s="109" customFormat="1">
      <c r="C41" s="170" t="s">
        <v>63</v>
      </c>
      <c r="D41" s="213" t="s">
        <v>86</v>
      </c>
      <c r="E41" s="207">
        <v>234</v>
      </c>
      <c r="F41" s="1141" t="s">
        <v>198</v>
      </c>
      <c r="G41" s="1142"/>
      <c r="H41" s="1143"/>
      <c r="I41" s="267">
        <f>+'A20'!$J$48</f>
        <v>0</v>
      </c>
      <c r="J41" s="326"/>
      <c r="K41" s="107">
        <f t="shared" si="0"/>
        <v>0</v>
      </c>
    </row>
    <row r="42" spans="3:11" s="109" customFormat="1">
      <c r="C42" s="170" t="s">
        <v>63</v>
      </c>
      <c r="D42" s="213" t="s">
        <v>87</v>
      </c>
      <c r="E42" s="207">
        <v>102</v>
      </c>
      <c r="F42" s="1141" t="s">
        <v>202</v>
      </c>
      <c r="G42" s="1142"/>
      <c r="H42" s="1143"/>
      <c r="I42" s="267">
        <f>+'A21'!$J$48</f>
        <v>0</v>
      </c>
      <c r="J42" s="326"/>
      <c r="K42" s="107">
        <f t="shared" si="0"/>
        <v>0</v>
      </c>
    </row>
    <row r="43" spans="3:11" s="109" customFormat="1">
      <c r="C43" s="170" t="s">
        <v>63</v>
      </c>
      <c r="D43" s="213" t="s">
        <v>88</v>
      </c>
      <c r="E43" s="207">
        <v>183</v>
      </c>
      <c r="F43" s="1141" t="s">
        <v>26</v>
      </c>
      <c r="G43" s="1142"/>
      <c r="H43" s="1143"/>
      <c r="I43" s="267">
        <f>+'A22'!$J$48</f>
        <v>0</v>
      </c>
      <c r="J43" s="326"/>
      <c r="K43" s="107">
        <f t="shared" si="0"/>
        <v>0</v>
      </c>
    </row>
    <row r="44" spans="3:11" s="109" customFormat="1">
      <c r="C44" s="170" t="s">
        <v>63</v>
      </c>
      <c r="D44" s="213" t="s">
        <v>89</v>
      </c>
      <c r="E44" s="207">
        <v>174</v>
      </c>
      <c r="F44" s="218" t="s">
        <v>27</v>
      </c>
      <c r="G44" s="317"/>
      <c r="H44" s="219"/>
      <c r="I44" s="267">
        <f>+'A23'!$J$48</f>
        <v>0</v>
      </c>
      <c r="J44" s="326"/>
      <c r="K44" s="107">
        <f t="shared" si="0"/>
        <v>0</v>
      </c>
    </row>
    <row r="45" spans="3:11" s="109" customFormat="1">
      <c r="C45" s="170" t="s">
        <v>63</v>
      </c>
      <c r="D45" s="213" t="s">
        <v>90</v>
      </c>
      <c r="E45" s="207">
        <v>175</v>
      </c>
      <c r="F45" s="218" t="s">
        <v>28</v>
      </c>
      <c r="G45" s="317"/>
      <c r="H45" s="219"/>
      <c r="I45" s="267">
        <f>+'A24'!$J$48</f>
        <v>0</v>
      </c>
      <c r="J45" s="326"/>
      <c r="K45" s="107">
        <f t="shared" si="0"/>
        <v>0</v>
      </c>
    </row>
    <row r="46" spans="3:11" s="109" customFormat="1">
      <c r="C46" s="170" t="s">
        <v>63</v>
      </c>
      <c r="D46" s="213" t="s">
        <v>91</v>
      </c>
      <c r="E46" s="207">
        <v>171</v>
      </c>
      <c r="F46" s="218" t="s">
        <v>29</v>
      </c>
      <c r="G46" s="317"/>
      <c r="H46" s="219"/>
      <c r="I46" s="267">
        <f>+'A25'!$J$48</f>
        <v>0</v>
      </c>
      <c r="J46" s="326"/>
      <c r="K46" s="107">
        <f t="shared" si="0"/>
        <v>0</v>
      </c>
    </row>
    <row r="47" spans="3:11" s="109" customFormat="1">
      <c r="C47" s="170" t="s">
        <v>63</v>
      </c>
      <c r="D47" s="213" t="s">
        <v>92</v>
      </c>
      <c r="E47" s="207">
        <v>172</v>
      </c>
      <c r="F47" s="218" t="s">
        <v>200</v>
      </c>
      <c r="G47" s="317"/>
      <c r="H47" s="219"/>
      <c r="I47" s="267">
        <f>+'A26'!$J$48</f>
        <v>0</v>
      </c>
      <c r="J47" s="326"/>
      <c r="K47" s="107">
        <f t="shared" si="0"/>
        <v>0</v>
      </c>
    </row>
    <row r="48" spans="3:11" s="109" customFormat="1">
      <c r="C48" s="170" t="s">
        <v>63</v>
      </c>
      <c r="D48" s="213" t="s">
        <v>93</v>
      </c>
      <c r="E48" s="207">
        <v>177</v>
      </c>
      <c r="F48" s="218" t="s">
        <v>57</v>
      </c>
      <c r="G48" s="317"/>
      <c r="H48" s="219"/>
      <c r="I48" s="267">
        <f>+'A27'!$J$48</f>
        <v>0</v>
      </c>
      <c r="J48" s="326"/>
      <c r="K48" s="107">
        <f t="shared" si="0"/>
        <v>0</v>
      </c>
    </row>
    <row r="49" spans="3:11" s="109" customFormat="1">
      <c r="C49" s="170" t="s">
        <v>63</v>
      </c>
      <c r="D49" s="213" t="s">
        <v>94</v>
      </c>
      <c r="E49" s="207">
        <v>144</v>
      </c>
      <c r="F49" s="218" t="s">
        <v>58</v>
      </c>
      <c r="G49" s="317"/>
      <c r="H49" s="219"/>
      <c r="I49" s="267">
        <f>+'A28'!$J$48</f>
        <v>0</v>
      </c>
      <c r="J49" s="326"/>
      <c r="K49" s="107">
        <f t="shared" si="0"/>
        <v>0</v>
      </c>
    </row>
    <row r="50" spans="3:11" s="109" customFormat="1">
      <c r="C50" s="170" t="s">
        <v>63</v>
      </c>
      <c r="D50" s="213" t="s">
        <v>95</v>
      </c>
      <c r="E50" s="207">
        <v>145</v>
      </c>
      <c r="F50" s="218" t="s">
        <v>30</v>
      </c>
      <c r="G50" s="317"/>
      <c r="H50" s="219"/>
      <c r="I50" s="267">
        <f>+'A29'!$J$48</f>
        <v>0</v>
      </c>
      <c r="J50" s="326"/>
      <c r="K50" s="107">
        <f t="shared" si="0"/>
        <v>0</v>
      </c>
    </row>
    <row r="51" spans="3:11" s="109" customFormat="1">
      <c r="C51" s="170" t="s">
        <v>63</v>
      </c>
      <c r="D51" s="213" t="s">
        <v>96</v>
      </c>
      <c r="E51" s="207">
        <v>146</v>
      </c>
      <c r="F51" s="218" t="s">
        <v>162</v>
      </c>
      <c r="G51" s="317"/>
      <c r="H51" s="219"/>
      <c r="I51" s="267">
        <f>+'A30'!$J$48</f>
        <v>0</v>
      </c>
      <c r="J51" s="326"/>
      <c r="K51" s="107">
        <f t="shared" si="0"/>
        <v>0</v>
      </c>
    </row>
    <row r="52" spans="3:11" s="109" customFormat="1">
      <c r="C52" s="170" t="s">
        <v>63</v>
      </c>
      <c r="D52" s="213" t="s">
        <v>66</v>
      </c>
      <c r="E52" s="207">
        <v>147</v>
      </c>
      <c r="F52" s="218" t="s">
        <v>201</v>
      </c>
      <c r="G52" s="317"/>
      <c r="H52" s="219"/>
      <c r="I52" s="267">
        <f>+'A31'!$J$48</f>
        <v>0</v>
      </c>
      <c r="J52" s="326"/>
      <c r="K52" s="107">
        <f t="shared" si="0"/>
        <v>0</v>
      </c>
    </row>
    <row r="53" spans="3:11" s="79" customFormat="1" ht="17.649999999999999">
      <c r="C53" s="170" t="s">
        <v>63</v>
      </c>
      <c r="D53" s="208" t="s">
        <v>157</v>
      </c>
      <c r="E53" s="209" t="s">
        <v>158</v>
      </c>
      <c r="F53" s="210"/>
      <c r="G53" s="210"/>
      <c r="H53" s="206" t="s">
        <v>13</v>
      </c>
      <c r="I53" s="205">
        <f>SUM(I16:I52)</f>
        <v>-1000</v>
      </c>
      <c r="J53" s="387">
        <f>+O!D34</f>
        <v>0</v>
      </c>
      <c r="K53" s="107">
        <f>IF(C53="x",IF(J53&lt;&gt;0,1,0),0)</f>
        <v>0</v>
      </c>
    </row>
    <row r="54" spans="3:11" s="79" customFormat="1" ht="5.0999999999999996" customHeight="1">
      <c r="C54" s="340" t="s">
        <v>63</v>
      </c>
      <c r="D54" s="1154"/>
      <c r="E54" s="1154"/>
      <c r="F54" s="1154"/>
      <c r="G54" s="1154"/>
      <c r="H54" s="1154"/>
      <c r="I54" s="1154"/>
      <c r="J54" s="327"/>
      <c r="K54" s="107"/>
    </row>
    <row r="55" spans="3:11" s="79" customFormat="1" ht="17.649999999999999">
      <c r="C55" s="340" t="s">
        <v>63</v>
      </c>
      <c r="D55" s="1206" t="s">
        <v>59</v>
      </c>
      <c r="E55" s="1207"/>
      <c r="F55" s="1207"/>
      <c r="G55" s="1208"/>
      <c r="H55" s="1207"/>
      <c r="I55" s="110"/>
      <c r="J55" s="327"/>
      <c r="K55" s="107"/>
    </row>
    <row r="56" spans="3:11" s="79" customFormat="1" ht="17.25" customHeight="1">
      <c r="C56" s="170" t="s">
        <v>63</v>
      </c>
      <c r="D56" s="231" t="s">
        <v>101</v>
      </c>
      <c r="E56" s="216" t="s">
        <v>159</v>
      </c>
      <c r="F56" s="217" t="s">
        <v>170</v>
      </c>
      <c r="G56" s="318"/>
      <c r="H56" s="211"/>
      <c r="I56" s="309">
        <f>+K!J48</f>
        <v>0</v>
      </c>
      <c r="J56" s="326"/>
      <c r="K56" s="107">
        <f t="shared" si="0"/>
        <v>0</v>
      </c>
    </row>
    <row r="57" spans="3:11" s="79" customFormat="1" ht="17.25" customHeight="1">
      <c r="C57" s="340" t="s">
        <v>63</v>
      </c>
      <c r="D57" s="231" t="s">
        <v>275</v>
      </c>
      <c r="E57" s="216">
        <v>122</v>
      </c>
      <c r="F57" s="1204">
        <f>+E!I45</f>
        <v>0</v>
      </c>
      <c r="G57" s="1204"/>
      <c r="H57" s="212">
        <f>+E!H45</f>
        <v>0</v>
      </c>
      <c r="I57" s="309">
        <f>+H57+F57</f>
        <v>0</v>
      </c>
      <c r="J57" s="326"/>
      <c r="K57" s="107">
        <f t="shared" si="0"/>
        <v>0</v>
      </c>
    </row>
    <row r="58" spans="3:11" s="79" customFormat="1" ht="8.1" customHeight="1">
      <c r="C58" s="341" t="s">
        <v>63</v>
      </c>
      <c r="D58" s="111"/>
      <c r="E58" s="111"/>
      <c r="F58" s="111"/>
      <c r="G58" s="319"/>
      <c r="H58" s="111"/>
      <c r="I58" s="111"/>
      <c r="J58" s="329"/>
      <c r="K58" s="73"/>
    </row>
    <row r="59" spans="3:11" s="99" customFormat="1" ht="10.15" customHeight="1">
      <c r="C59" s="342" t="s">
        <v>5</v>
      </c>
      <c r="D59" s="1205" t="str">
        <f>IF(K74&gt;0,"Fehler","")</f>
        <v/>
      </c>
      <c r="E59" s="1205"/>
      <c r="F59" s="1205"/>
      <c r="G59" s="1205"/>
      <c r="H59" s="1205"/>
      <c r="I59" s="1205"/>
      <c r="J59" s="330"/>
      <c r="K59" s="100"/>
    </row>
    <row r="60" spans="3:11" s="96" customFormat="1" ht="8.1" customHeight="1">
      <c r="C60" s="343" t="s">
        <v>5</v>
      </c>
      <c r="D60" s="388"/>
      <c r="E60" s="388"/>
      <c r="F60" s="388"/>
      <c r="G60" s="388"/>
      <c r="H60" s="388"/>
      <c r="I60" s="388"/>
      <c r="J60" s="230">
        <f>SUM(J5:J58)</f>
        <v>0</v>
      </c>
      <c r="K60" s="73"/>
    </row>
    <row r="61" spans="3:11" s="104" customFormat="1" ht="17.649999999999999">
      <c r="C61" s="344" t="s">
        <v>175</v>
      </c>
      <c r="D61" s="1166" t="s">
        <v>261</v>
      </c>
      <c r="E61" s="1167"/>
      <c r="F61" s="1167" t="s">
        <v>3</v>
      </c>
      <c r="G61" s="1167"/>
      <c r="H61" s="1167"/>
      <c r="I61" s="1168"/>
      <c r="J61" s="112"/>
      <c r="K61" s="103"/>
    </row>
    <row r="62" spans="3:11" s="79" customFormat="1" ht="15.4" customHeight="1">
      <c r="C62" s="344" t="s">
        <v>175</v>
      </c>
      <c r="D62" s="1188" t="s">
        <v>164</v>
      </c>
      <c r="E62" s="1189"/>
      <c r="F62" s="1189"/>
      <c r="G62" s="1190"/>
      <c r="H62" s="1191"/>
      <c r="I62" s="171">
        <f>+I15</f>
        <v>0</v>
      </c>
      <c r="J62" s="113"/>
      <c r="K62" s="73"/>
    </row>
    <row r="63" spans="3:11" s="79" customFormat="1" ht="15.4" customHeight="1">
      <c r="C63" s="344" t="s">
        <v>175</v>
      </c>
      <c r="D63" s="1173" t="s">
        <v>165</v>
      </c>
      <c r="E63" s="1174"/>
      <c r="F63" s="1174"/>
      <c r="G63" s="1175"/>
      <c r="H63" s="1176"/>
      <c r="I63" s="172">
        <f>+I53</f>
        <v>-1000</v>
      </c>
      <c r="J63" s="113"/>
      <c r="K63" s="73"/>
    </row>
    <row r="64" spans="3:11" s="79" customFormat="1" ht="20.65">
      <c r="C64" s="344" t="s">
        <v>175</v>
      </c>
      <c r="D64" s="1185" t="s">
        <v>457</v>
      </c>
      <c r="E64" s="1185"/>
      <c r="F64" s="1185"/>
      <c r="G64" s="887"/>
      <c r="H64" s="314" t="str">
        <f>IF(I64&lt;0,"steuerlicher Verlust ","steuerlicher Gewinn ")</f>
        <v xml:space="preserve">steuerlicher Verlust </v>
      </c>
      <c r="I64" s="315">
        <f>+I62+I63</f>
        <v>-1000</v>
      </c>
      <c r="J64" s="450"/>
      <c r="K64" s="73"/>
    </row>
    <row r="65" spans="3:11" s="79" customFormat="1" ht="5.0999999999999996" customHeight="1">
      <c r="C65" s="344" t="s">
        <v>175</v>
      </c>
      <c r="D65" s="157"/>
      <c r="E65" s="138"/>
      <c r="F65" s="138"/>
      <c r="G65" s="138"/>
      <c r="H65" s="10"/>
      <c r="I65" s="11"/>
      <c r="J65" s="114"/>
      <c r="K65" s="73"/>
    </row>
    <row r="66" spans="3:11" s="79" customFormat="1">
      <c r="C66" s="344" t="s">
        <v>171</v>
      </c>
      <c r="D66" s="140" t="s">
        <v>171</v>
      </c>
      <c r="E66" s="1192" t="str">
        <f>IF(I66="umsatzsteuerpflichtig ",+U!P30,"keine Umsatzsteuer")</f>
        <v>keine Umsatzsteuer</v>
      </c>
      <c r="F66" s="1192"/>
      <c r="G66" s="1193"/>
      <c r="H66" s="139"/>
      <c r="I66" s="381"/>
      <c r="J66" s="382" t="str">
        <f>IF(I66="umsatzsteuerpflichtig ","ü","-")</f>
        <v>-</v>
      </c>
      <c r="K66" s="73"/>
    </row>
    <row r="67" spans="3:11" s="79" customFormat="1" ht="10.15" customHeight="1">
      <c r="C67" s="344" t="s">
        <v>171</v>
      </c>
      <c r="D67" s="157"/>
      <c r="E67" s="138"/>
      <c r="F67" s="138"/>
      <c r="G67" s="138"/>
      <c r="H67" s="380">
        <f>IF(H66="nicht vorauszahlungspflichtig",0,1)</f>
        <v>1</v>
      </c>
      <c r="I67" s="380">
        <f>IF(I66="umsatzsteuerpflichtig ",1,0)</f>
        <v>0</v>
      </c>
      <c r="J67" s="114"/>
      <c r="K67" s="73"/>
    </row>
    <row r="68" spans="3:11" s="79" customFormat="1" ht="18" thickBot="1">
      <c r="C68" s="344" t="s">
        <v>172</v>
      </c>
      <c r="D68" s="1200"/>
      <c r="E68" s="1201"/>
      <c r="F68" s="1201"/>
      <c r="G68" s="1202"/>
      <c r="H68" s="1179"/>
      <c r="I68" s="1180"/>
      <c r="J68" s="114"/>
      <c r="K68" s="73"/>
    </row>
    <row r="69" spans="3:11" s="79" customFormat="1" ht="15.4" thickTop="1">
      <c r="C69" s="344" t="s">
        <v>172</v>
      </c>
      <c r="D69" s="1203" t="s">
        <v>266</v>
      </c>
      <c r="E69" s="1196"/>
      <c r="F69" s="1196"/>
      <c r="G69" s="946"/>
      <c r="H69" s="947" t="str">
        <f>IF(E66="keine Umsatzsteuer",+E66,IF(I69&lt;0,"offene Umsatzsteuer-Forderung","offene Umsatzsteuer-Erstattung"))</f>
        <v>keine Umsatzsteuer</v>
      </c>
      <c r="I69" s="948">
        <f>IF(E66&lt;&gt;"keine Umsatzsteuer",+E66-'U07'!H16-'U09'!H16,0)</f>
        <v>0</v>
      </c>
      <c r="J69" s="114"/>
      <c r="K69" s="73"/>
    </row>
    <row r="70" spans="3:11" s="79" customFormat="1" ht="15.4" thickBot="1">
      <c r="C70" s="344" t="s">
        <v>172</v>
      </c>
      <c r="D70" s="1186" t="s">
        <v>267</v>
      </c>
      <c r="E70" s="1187"/>
      <c r="F70" s="1187"/>
      <c r="G70" s="953"/>
      <c r="H70" s="951" t="str">
        <f>IF(I70&lt;0,"Einkommensteuer-Zahlung","Einkommensteuer-Erstattung")</f>
        <v>Einkommensteuer-Erstattung</v>
      </c>
      <c r="I70" s="952"/>
      <c r="J70" s="957"/>
      <c r="K70" s="73"/>
    </row>
    <row r="71" spans="3:11" s="79" customFormat="1" ht="15" customHeight="1" thickTop="1">
      <c r="C71" s="344" t="s">
        <v>172</v>
      </c>
      <c r="D71" s="1195" t="s">
        <v>268</v>
      </c>
      <c r="E71" s="1196"/>
      <c r="F71" s="1196"/>
      <c r="G71" s="946"/>
      <c r="H71" s="348" t="s">
        <v>181</v>
      </c>
      <c r="I71" s="349">
        <f>+I19+I20+I21</f>
        <v>-1000</v>
      </c>
      <c r="J71" s="114"/>
      <c r="K71" s="73"/>
    </row>
    <row r="72" spans="3:11" s="79" customFormat="1" ht="15.4" thickBot="1">
      <c r="C72" s="344" t="s">
        <v>172</v>
      </c>
      <c r="D72" s="1186" t="s">
        <v>269</v>
      </c>
      <c r="E72" s="1187"/>
      <c r="F72" s="1187"/>
      <c r="G72" s="953"/>
      <c r="H72" s="954" t="s">
        <v>182</v>
      </c>
      <c r="I72" s="955">
        <f>+I41</f>
        <v>0</v>
      </c>
      <c r="J72" s="114"/>
      <c r="K72" s="73"/>
    </row>
    <row r="73" spans="3:11" s="79" customFormat="1" ht="15.4" thickTop="1">
      <c r="C73" s="344" t="s">
        <v>172</v>
      </c>
      <c r="D73" s="1195" t="s">
        <v>276</v>
      </c>
      <c r="E73" s="1196"/>
      <c r="F73" s="1196"/>
      <c r="G73" s="946"/>
      <c r="H73" s="949" t="s">
        <v>183</v>
      </c>
      <c r="I73" s="950">
        <f>+I64-I71-I72</f>
        <v>0</v>
      </c>
      <c r="J73" s="114"/>
      <c r="K73" s="73"/>
    </row>
    <row r="74" spans="3:11" s="96" customFormat="1" ht="14.1" customHeight="1">
      <c r="C74" s="344" t="s">
        <v>172</v>
      </c>
      <c r="D74" s="1170" t="str">
        <f>IF(K74=1,"Achtung: Ausgeblendete Tabs haben Werte!","")</f>
        <v/>
      </c>
      <c r="E74" s="1170"/>
      <c r="F74" s="1170"/>
      <c r="G74" s="1171"/>
      <c r="H74" s="1170"/>
      <c r="I74" s="1170"/>
      <c r="J74" s="350"/>
      <c r="K74" s="107">
        <f>IF(SUM(K8:K73)=0,0,1)</f>
        <v>0</v>
      </c>
    </row>
    <row r="75" spans="3:11" s="96" customFormat="1" ht="14.1" customHeight="1">
      <c r="C75" s="344" t="s">
        <v>172</v>
      </c>
      <c r="D75" s="1184" t="s">
        <v>186</v>
      </c>
      <c r="E75" s="1184"/>
      <c r="F75" s="351"/>
      <c r="G75" s="351"/>
      <c r="H75" s="1181" t="s">
        <v>262</v>
      </c>
      <c r="I75" s="1182">
        <f>+I64-I71+I70+I56</f>
        <v>0</v>
      </c>
      <c r="J75" s="352"/>
      <c r="K75" s="107"/>
    </row>
    <row r="76" spans="3:11" s="79" customFormat="1" ht="15" customHeight="1">
      <c r="C76" s="344" t="s">
        <v>172</v>
      </c>
      <c r="D76" s="1169" t="s">
        <v>141</v>
      </c>
      <c r="E76" s="1169"/>
      <c r="F76" s="1197">
        <f>SUM('E01:K'!E1)+E!B68+E!H68</f>
        <v>0</v>
      </c>
      <c r="G76" s="1197"/>
      <c r="H76" s="1181"/>
      <c r="I76" s="1183"/>
      <c r="J76" s="114"/>
      <c r="K76" s="73"/>
    </row>
    <row r="77" spans="3:11" s="79" customFormat="1" ht="15" customHeight="1">
      <c r="C77" s="344" t="s">
        <v>172</v>
      </c>
      <c r="D77" s="1177" t="s">
        <v>64</v>
      </c>
      <c r="E77" s="1177"/>
      <c r="F77" s="1198">
        <f>SUM('E01:K'!C1)</f>
        <v>0</v>
      </c>
      <c r="G77" s="1198"/>
      <c r="H77" s="1194" t="s">
        <v>449</v>
      </c>
      <c r="I77" s="353">
        <f>+I3</f>
        <v>46023</v>
      </c>
      <c r="J77" s="114"/>
      <c r="K77" s="73"/>
    </row>
    <row r="78" spans="3:11" s="79" customFormat="1" ht="15" customHeight="1">
      <c r="C78" s="344" t="s">
        <v>172</v>
      </c>
      <c r="D78" s="1178" t="s">
        <v>65</v>
      </c>
      <c r="E78" s="1178"/>
      <c r="F78" s="1199">
        <f>SUM('E01:K'!G1)</f>
        <v>0</v>
      </c>
      <c r="G78" s="1199"/>
      <c r="H78" s="1194"/>
      <c r="I78" s="890">
        <f>EOMONTH(I3,11)</f>
        <v>46387</v>
      </c>
      <c r="J78" s="114"/>
      <c r="K78" s="73"/>
    </row>
    <row r="79" spans="3:11" s="165" customFormat="1" ht="13.15">
      <c r="C79" s="354" t="s">
        <v>5</v>
      </c>
      <c r="D79" s="1165" t="s">
        <v>184</v>
      </c>
      <c r="E79" s="1165"/>
      <c r="F79" s="1172" t="s">
        <v>481</v>
      </c>
      <c r="G79" s="1172"/>
      <c r="H79" s="1172"/>
      <c r="I79" s="355" t="s">
        <v>296</v>
      </c>
      <c r="J79" s="356"/>
      <c r="K79" s="164"/>
    </row>
    <row r="80" spans="3:11" s="96" customFormat="1" ht="5.0999999999999996" customHeight="1">
      <c r="C80" s="359" t="s">
        <v>5</v>
      </c>
      <c r="D80" s="357"/>
      <c r="E80" s="357"/>
      <c r="F80" s="357"/>
      <c r="G80" s="357"/>
      <c r="H80" s="357"/>
      <c r="I80" s="357"/>
      <c r="J80" s="358"/>
      <c r="K80" s="73"/>
    </row>
    <row r="81" spans="3:3">
      <c r="C81" s="337"/>
    </row>
  </sheetData>
  <sheetProtection sheet="1" formatCells="0" formatColumns="0" formatRows="0" autoFilter="0" pivotTables="0"/>
  <autoFilter ref="B4:C80" xr:uid="{40BD6187-EBBD-4A8A-A88B-C06FD1361116}"/>
  <mergeCells count="56">
    <mergeCell ref="F41:H41"/>
    <mergeCell ref="F42:H42"/>
    <mergeCell ref="F28:H28"/>
    <mergeCell ref="H77:H78"/>
    <mergeCell ref="D73:F73"/>
    <mergeCell ref="F76:G76"/>
    <mergeCell ref="F77:G77"/>
    <mergeCell ref="F78:G78"/>
    <mergeCell ref="D68:G68"/>
    <mergeCell ref="D72:F72"/>
    <mergeCell ref="D69:F69"/>
    <mergeCell ref="D71:F71"/>
    <mergeCell ref="F43:H43"/>
    <mergeCell ref="F57:G57"/>
    <mergeCell ref="D59:I59"/>
    <mergeCell ref="D55:H55"/>
    <mergeCell ref="D79:E79"/>
    <mergeCell ref="D61:I61"/>
    <mergeCell ref="D76:E76"/>
    <mergeCell ref="D74:I74"/>
    <mergeCell ref="F79:H79"/>
    <mergeCell ref="D63:H63"/>
    <mergeCell ref="D77:E77"/>
    <mergeCell ref="D78:E78"/>
    <mergeCell ref="H68:I68"/>
    <mergeCell ref="H75:H76"/>
    <mergeCell ref="I75:I76"/>
    <mergeCell ref="D75:E75"/>
    <mergeCell ref="D64:F64"/>
    <mergeCell ref="D70:F70"/>
    <mergeCell ref="D62:H62"/>
    <mergeCell ref="E66:G66"/>
    <mergeCell ref="C2:J2"/>
    <mergeCell ref="D54:I54"/>
    <mergeCell ref="F8:H8"/>
    <mergeCell ref="F9:H9"/>
    <mergeCell ref="F10:H10"/>
    <mergeCell ref="F11:H11"/>
    <mergeCell ref="F14:H14"/>
    <mergeCell ref="F22:H22"/>
    <mergeCell ref="F23:H23"/>
    <mergeCell ref="D3:H3"/>
    <mergeCell ref="D4:H4"/>
    <mergeCell ref="F17:H17"/>
    <mergeCell ref="D7:I7"/>
    <mergeCell ref="F12:H12"/>
    <mergeCell ref="F13:H13"/>
    <mergeCell ref="F27:H27"/>
    <mergeCell ref="D16:I16"/>
    <mergeCell ref="F25:H25"/>
    <mergeCell ref="F26:H26"/>
    <mergeCell ref="F19:H19"/>
    <mergeCell ref="F18:H18"/>
    <mergeCell ref="F20:H20"/>
    <mergeCell ref="F21:H21"/>
    <mergeCell ref="F24:H24"/>
  </mergeCells>
  <conditionalFormatting sqref="C6:C80">
    <cfRule type="cellIs" dxfId="1795" priority="38" operator="equal">
      <formula>""</formula>
    </cfRule>
  </conditionalFormatting>
  <conditionalFormatting sqref="C8:C57">
    <cfRule type="cellIs" dxfId="1794" priority="29" operator="equal">
      <formula>"x"</formula>
    </cfRule>
  </conditionalFormatting>
  <conditionalFormatting sqref="C59">
    <cfRule type="expression" dxfId="1793" priority="14">
      <formula>$K$74&lt;&gt;0</formula>
    </cfRule>
  </conditionalFormatting>
  <conditionalFormatting sqref="D8:D9">
    <cfRule type="expression" dxfId="1792" priority="45">
      <formula>$C8="x"</formula>
    </cfRule>
  </conditionalFormatting>
  <conditionalFormatting sqref="D56:D57 I56:I57">
    <cfRule type="expression" dxfId="1791" priority="48">
      <formula>$C56="x"</formula>
    </cfRule>
  </conditionalFormatting>
  <conditionalFormatting sqref="D62:D63">
    <cfRule type="expression" dxfId="1790" priority="139" stopIfTrue="1">
      <formula>$C62="ü"</formula>
    </cfRule>
  </conditionalFormatting>
  <conditionalFormatting sqref="D65">
    <cfRule type="expression" dxfId="1789" priority="7352">
      <formula>$J$66="-"</formula>
    </cfRule>
  </conditionalFormatting>
  <conditionalFormatting sqref="D66">
    <cfRule type="expression" dxfId="1788" priority="79">
      <formula>$I$66&lt;&gt;"umsatzsteuerpflichtig "</formula>
    </cfRule>
  </conditionalFormatting>
  <conditionalFormatting sqref="D74">
    <cfRule type="expression" dxfId="1787" priority="100">
      <formula>$K$74=1</formula>
    </cfRule>
  </conditionalFormatting>
  <conditionalFormatting sqref="D79">
    <cfRule type="cellIs" dxfId="1786" priority="96" operator="equal">
      <formula>"ungültig!"</formula>
    </cfRule>
    <cfRule type="cellIs" dxfId="1785" priority="95" operator="equal">
      <formula>"Testversion"</formula>
    </cfRule>
    <cfRule type="cellIs" dxfId="1784" priority="94" operator="equal">
      <formula>"Vollversion"</formula>
    </cfRule>
  </conditionalFormatting>
  <conditionalFormatting sqref="D64:G64">
    <cfRule type="cellIs" dxfId="1783" priority="17" operator="equal">
      <formula>""</formula>
    </cfRule>
    <cfRule type="cellIs" dxfId="1782" priority="76" operator="equal">
      <formula>"in Arbeit"</formula>
    </cfRule>
    <cfRule type="cellIs" dxfId="1781" priority="75" operator="equal">
      <formula>"final"</formula>
    </cfRule>
    <cfRule type="cellIs" dxfId="1780" priority="74" operator="equal">
      <formula>"abgegeben"</formula>
    </cfRule>
    <cfRule type="cellIs" dxfId="1779" priority="73" operator="equal">
      <formula>"Steuerbescheid"</formula>
    </cfRule>
  </conditionalFormatting>
  <conditionalFormatting sqref="D4:I4">
    <cfRule type="cellIs" dxfId="1778" priority="18" operator="equal">
      <formula>""</formula>
    </cfRule>
  </conditionalFormatting>
  <conditionalFormatting sqref="D13:I14">
    <cfRule type="expression" dxfId="1777" priority="41">
      <formula>$J$66="-"</formula>
    </cfRule>
  </conditionalFormatting>
  <conditionalFormatting sqref="D17:I18">
    <cfRule type="expression" dxfId="1776" priority="39">
      <formula>$J$66="-"</formula>
    </cfRule>
  </conditionalFormatting>
  <conditionalFormatting sqref="D17:I52">
    <cfRule type="expression" dxfId="1775" priority="43">
      <formula>$C17="x"</formula>
    </cfRule>
  </conditionalFormatting>
  <conditionalFormatting sqref="D59:I59">
    <cfRule type="expression" dxfId="1774" priority="114">
      <formula>$K$74&lt;&gt;0</formula>
    </cfRule>
  </conditionalFormatting>
  <conditionalFormatting sqref="D68:I68">
    <cfRule type="cellIs" dxfId="1773" priority="16" operator="equal">
      <formula>""</formula>
    </cfRule>
  </conditionalFormatting>
  <conditionalFormatting sqref="E65">
    <cfRule type="expression" dxfId="1772" priority="7351">
      <formula>$J$66="-"</formula>
    </cfRule>
  </conditionalFormatting>
  <conditionalFormatting sqref="E66">
    <cfRule type="expression" dxfId="1771" priority="72">
      <formula>$I$66&lt;&gt;"umsatzsteuerpflichtig "</formula>
    </cfRule>
  </conditionalFormatting>
  <conditionalFormatting sqref="E9:H9 D10:H14">
    <cfRule type="expression" dxfId="1770" priority="50">
      <formula>$C9="x"</formula>
    </cfRule>
  </conditionalFormatting>
  <conditionalFormatting sqref="E56:H56 E57:F57 H57">
    <cfRule type="expression" dxfId="1769" priority="47">
      <formula>$C56="x"</formula>
    </cfRule>
  </conditionalFormatting>
  <conditionalFormatting sqref="G69:G73">
    <cfRule type="cellIs" dxfId="1768" priority="1" operator="equal">
      <formula>""</formula>
    </cfRule>
  </conditionalFormatting>
  <conditionalFormatting sqref="H64">
    <cfRule type="expression" dxfId="1767" priority="34">
      <formula>$I$64&lt;0</formula>
    </cfRule>
  </conditionalFormatting>
  <conditionalFormatting sqref="H66">
    <cfRule type="expression" dxfId="1766" priority="70">
      <formula>AND($H$66="vorauszahlungspflichtig [Quartal]",$I$66="nicht umsatzsteuerpflichtig ")</formula>
    </cfRule>
    <cfRule type="expression" dxfId="1765" priority="71">
      <formula>AND($H$66="vorauszahlungspflichtig [Monat]",$I$66="nicht umsatzsteuerpflichtig ")</formula>
    </cfRule>
    <cfRule type="cellIs" dxfId="1764" priority="77" operator="equal">
      <formula>"vorauszahlungspflichtig [Monat]"</formula>
    </cfRule>
    <cfRule type="expression" dxfId="1763" priority="22">
      <formula>AND($H$66="",$I$67=1)</formula>
    </cfRule>
    <cfRule type="cellIs" dxfId="1762" priority="80" operator="equal">
      <formula>"vorauszahlungspflichtig [Quartal]"</formula>
    </cfRule>
  </conditionalFormatting>
  <conditionalFormatting sqref="H69">
    <cfRule type="expression" dxfId="1761" priority="35">
      <formula>$I$69&lt;0</formula>
    </cfRule>
  </conditionalFormatting>
  <conditionalFormatting sqref="H70">
    <cfRule type="expression" dxfId="1760" priority="86">
      <formula>$I$70&lt;0</formula>
    </cfRule>
  </conditionalFormatting>
  <conditionalFormatting sqref="H75">
    <cfRule type="expression" dxfId="1759" priority="8128">
      <formula>$I$75&lt;0</formula>
    </cfRule>
  </conditionalFormatting>
  <conditionalFormatting sqref="H66:I66">
    <cfRule type="cellIs" dxfId="1758" priority="21" operator="equal">
      <formula>""</formula>
    </cfRule>
  </conditionalFormatting>
  <conditionalFormatting sqref="H69:I69">
    <cfRule type="expression" dxfId="1757" priority="89">
      <formula>$I$69=0</formula>
    </cfRule>
    <cfRule type="expression" dxfId="1756" priority="7">
      <formula>$H$69="keine Umsatzsteuer"</formula>
    </cfRule>
  </conditionalFormatting>
  <conditionalFormatting sqref="H70:I70">
    <cfRule type="expression" dxfId="1755" priority="87">
      <formula>$I$70=0</formula>
    </cfRule>
  </conditionalFormatting>
  <conditionalFormatting sqref="H71:I71">
    <cfRule type="expression" dxfId="1754" priority="3">
      <formula>$I$71&lt;&gt;0</formula>
    </cfRule>
  </conditionalFormatting>
  <conditionalFormatting sqref="H72:I72">
    <cfRule type="expression" dxfId="1753" priority="6">
      <formula>$I$72&lt;0</formula>
    </cfRule>
  </conditionalFormatting>
  <conditionalFormatting sqref="I4">
    <cfRule type="cellIs" dxfId="1752" priority="31" operator="lessThan">
      <formula>$I$77</formula>
    </cfRule>
    <cfRule type="cellIs" dxfId="1751" priority="30" operator="greaterThan">
      <formula>$I$78</formula>
    </cfRule>
  </conditionalFormatting>
  <conditionalFormatting sqref="I9:I14 E8:I8">
    <cfRule type="expression" dxfId="1750" priority="52">
      <formula>$C8="x"</formula>
    </cfRule>
  </conditionalFormatting>
  <conditionalFormatting sqref="I13:I14">
    <cfRule type="expression" dxfId="1749" priority="25">
      <formula>AND(I13&lt;&gt;0,$I$67=0)</formula>
    </cfRule>
  </conditionalFormatting>
  <conditionalFormatting sqref="I17:I18">
    <cfRule type="expression" dxfId="1748" priority="23">
      <formula>AND(I17&lt;&gt;0,$I$67=0)</formula>
    </cfRule>
  </conditionalFormatting>
  <conditionalFormatting sqref="I66">
    <cfRule type="cellIs" dxfId="1747" priority="81" operator="equal">
      <formula>"umsatzsteuerpflichtig "</formula>
    </cfRule>
  </conditionalFormatting>
  <conditionalFormatting sqref="I69">
    <cfRule type="cellIs" dxfId="1746" priority="27" operator="lessThan">
      <formula>0</formula>
    </cfRule>
  </conditionalFormatting>
  <conditionalFormatting sqref="I70">
    <cfRule type="cellIs" dxfId="1745" priority="5" operator="lessThan">
      <formula>0</formula>
    </cfRule>
    <cfRule type="cellIs" dxfId="1744" priority="8" operator="equal">
      <formula>""</formula>
    </cfRule>
  </conditionalFormatting>
  <conditionalFormatting sqref="I75">
    <cfRule type="cellIs" dxfId="1743" priority="66" operator="lessThan">
      <formula>0</formula>
    </cfRule>
  </conditionalFormatting>
  <conditionalFormatting sqref="J8:J14 J56:J57">
    <cfRule type="cellIs" dxfId="1742" priority="113" operator="notEqual">
      <formula>0</formula>
    </cfRule>
  </conditionalFormatting>
  <conditionalFormatting sqref="J22:J52">
    <cfRule type="cellIs" dxfId="1741" priority="111" operator="notEqual">
      <formula>0</formula>
    </cfRule>
  </conditionalFormatting>
  <conditionalFormatting sqref="J59">
    <cfRule type="expression" dxfId="1740" priority="13">
      <formula>$K$74&lt;&gt;0</formula>
    </cfRule>
  </conditionalFormatting>
  <conditionalFormatting sqref="J64">
    <cfRule type="cellIs" dxfId="1739" priority="9" operator="equal">
      <formula>""</formula>
    </cfRule>
  </conditionalFormatting>
  <conditionalFormatting sqref="J70">
    <cfRule type="cellIs" dxfId="1738" priority="2" operator="equal">
      <formula>""</formula>
    </cfRule>
    <cfRule type="cellIs" dxfId="1737" priority="12" operator="equal">
      <formula>"ÿ"</formula>
    </cfRule>
    <cfRule type="cellIs" dxfId="1736" priority="10" operator="equal">
      <formula>"I"</formula>
    </cfRule>
  </conditionalFormatting>
  <dataValidations count="7">
    <dataValidation type="list" allowBlank="1" showInputMessage="1" showErrorMessage="1" sqref="I66" xr:uid="{74E6AFB1-CE33-405A-A7D0-AB27427498DE}">
      <formula1>"umsatzsteuerpflichtig ,nicht umsatzsteuerpflichtig "</formula1>
    </dataValidation>
    <dataValidation type="list" allowBlank="1" showInputMessage="1" showErrorMessage="1" sqref="G64" xr:uid="{88D4ED6A-87F8-4C3C-BBEF-0BBF2F311908}">
      <formula1>"IST-Versteuerung,SOLL-Versteuerung"</formula1>
    </dataValidation>
    <dataValidation type="list" allowBlank="1" showInputMessage="1" showErrorMessage="1" sqref="H66" xr:uid="{A97094F2-AE30-4B3A-9487-AD8CAEAC508D}">
      <formula1>"vorauszahlungspflichtig [Monat],vorauszahlungspflichtig [Quartal],nicht vorauszahlungspflichtig"</formula1>
    </dataValidation>
    <dataValidation type="list" allowBlank="1" showInputMessage="1" showErrorMessage="1" sqref="D64:F64" xr:uid="{E9F7A8B8-C18E-4312-9C8C-E1877D2F4460}">
      <formula1>"geplant, in Arbeit, final"</formula1>
    </dataValidation>
    <dataValidation type="list" allowBlank="1" showInputMessage="1" showErrorMessage="1" sqref="C8:C14 C17:C57" xr:uid="{6CA8CE12-9CEB-419D-80CC-4407BFE50C79}">
      <formula1>"x,ü"</formula1>
    </dataValidation>
    <dataValidation type="list" allowBlank="1" showInputMessage="1" showErrorMessage="1" sqref="J70" xr:uid="{7165C63C-2D22-4F15-972B-60477520F938}">
      <formula1>"ÿ,I"</formula1>
    </dataValidation>
    <dataValidation type="list" allowBlank="1" showInputMessage="1" showErrorMessage="1" sqref="J64" xr:uid="{5E28151C-9493-4F65-98C5-2C89C0F30BB3}">
      <formula1>"Ê,I"</formula1>
    </dataValidation>
  </dataValidations>
  <hyperlinks>
    <hyperlink ref="D8" location="'E01'!A1" display="E01" xr:uid="{00000000-0004-0000-0000-000000000000}"/>
    <hyperlink ref="D53" location="O!A1" display="O" xr:uid="{5D0F6702-6BBC-432E-BCB5-0F57BC1C3512}"/>
    <hyperlink ref="D66" location="U!A1" display="U" xr:uid="{141322F0-422F-4E37-BF9E-1715065638EC}"/>
    <hyperlink ref="D9" location="'E02'!A1" display="E02" xr:uid="{C9C2AC55-434A-4711-B9C1-4222EE61D4D7}"/>
    <hyperlink ref="D10" location="'E03'!A1" display="E03" xr:uid="{9527174E-0EB1-43DF-8F3E-FB015ADF9C77}"/>
    <hyperlink ref="D11" location="'E04'!A1" display="E04" xr:uid="{D16D2834-5689-4A17-BC05-657FFF619864}"/>
    <hyperlink ref="D12" location="'E05'!A1" display="E05" xr:uid="{89055FD4-272C-434D-A33C-2CC1BF60D21E}"/>
    <hyperlink ref="D13" location="'U06'!A1" display="U06" xr:uid="{84F56610-F52C-4BF0-B2A8-3E234FD79072}"/>
    <hyperlink ref="D14" location="'U07'!A1" display="U07" xr:uid="{AE215B60-0162-4D2A-A9F2-52C7F95DA7AA}"/>
    <hyperlink ref="D17" location="'A08'!A1" display="U08" xr:uid="{52928EE1-FCAD-437C-9788-C67BBA324341}"/>
    <hyperlink ref="D18" location="'U09'!A1" display="U09" xr:uid="{1C051D5D-03BA-4E4C-9677-EEC634423FB9}"/>
    <hyperlink ref="D19" location="'O10'!A1" display="O10" xr:uid="{A2ECFF85-F9F6-45E1-8FDE-887AD7DA0A70}"/>
    <hyperlink ref="D20" location="'O11'!A1" display="O11" xr:uid="{6F220295-F5FF-4CAB-9EE4-3213AEABB982}"/>
    <hyperlink ref="D21" location="'O12'!A1" display="O12" xr:uid="{E7CD05F4-C316-4ED5-872C-7F15E1F4BA44}"/>
    <hyperlink ref="D22" location="'A01'!A1" display="A01" xr:uid="{8F2431A9-3446-4819-B1A8-B2D611306C0F}"/>
    <hyperlink ref="D23" location="'A02'!A1" display="A02" xr:uid="{8023F213-5C4B-4250-B5F8-2B8B3A909B08}"/>
    <hyperlink ref="D24" location="'A03'!A1" display="A03" xr:uid="{92B56A8C-81B8-4CAD-AF97-A208C6828233}"/>
    <hyperlink ref="D25" location="'A04'!A1" display="A04" xr:uid="{C6E7C5FB-F18F-4202-9D6F-7EFB284D81A3}"/>
    <hyperlink ref="D26" location="'A05'!A1" display="A05" xr:uid="{C53ED7BA-9087-4F10-AA09-43641117A786}"/>
    <hyperlink ref="D27" location="'A06'!A1" display="A06" xr:uid="{B88E269D-8C28-4C8F-A3BE-C00460241F1D}"/>
    <hyperlink ref="D28" location="'A07'!A1" display="A07" xr:uid="{E6C5945B-255A-446E-92C0-61E7CE03876C}"/>
    <hyperlink ref="D29" location="'A08'!A1" display="A08" xr:uid="{975B29F6-CCA4-46B0-8224-335B0F5BF476}"/>
    <hyperlink ref="D30" location="'A09'!A1" display="A09" xr:uid="{D77D9164-48E9-4973-AD62-733103C2FC8A}"/>
    <hyperlink ref="D31" location="'A10'!A1" display="A10" xr:uid="{05EB7E38-E62F-4FC8-B43B-8446C7447F1D}"/>
    <hyperlink ref="D32" location="'A11'!A1" display="A11" xr:uid="{78662BEB-2F4E-4468-A110-6233E1410D99}"/>
    <hyperlink ref="D33" location="'A12'!A1" display="A12" xr:uid="{F4C816B9-55B8-4CF0-9110-9DBF963622F4}"/>
    <hyperlink ref="D34" location="'A13'!A1" display="A13" xr:uid="{A4F85090-2E1A-4557-B940-C9EA9F38E50D}"/>
    <hyperlink ref="D35" location="'A14'!A1" display="A14" xr:uid="{F6704FF5-0113-4BBD-BCA8-CA0DAF2C19B7}"/>
    <hyperlink ref="D36" location="'A15'!A1" display="A15" xr:uid="{4C55B7C5-B63C-4813-B3B6-EB3EE6EAABEF}"/>
    <hyperlink ref="D37" location="'A16'!A1" display="A16" xr:uid="{381552F9-4078-4B23-A75D-56E7320B4969}"/>
    <hyperlink ref="D38" location="'A17'!A1" display="A17" xr:uid="{0F637471-AC16-424D-A54F-699CA3BE7591}"/>
    <hyperlink ref="D39" location="'A18'!A1" display="A18" xr:uid="{35F8444E-79EC-4FD7-BA90-BF7B1D6AAF3A}"/>
    <hyperlink ref="D40" location="'A19'!A1" display="A19" xr:uid="{3F67A119-DBB8-4E38-B191-AB2E0B298897}"/>
    <hyperlink ref="D41" location="'A20'!A1" display="A20" xr:uid="{239E0B4A-6B3D-40E4-8189-987AE86640C3}"/>
    <hyperlink ref="D42" location="'A21'!A1" display="A21" xr:uid="{31DA186D-4283-4528-97F7-E879984F5E13}"/>
    <hyperlink ref="D43" location="'A22'!A1" display="A22" xr:uid="{2EF258AD-6597-473D-8BCC-345B77604DD6}"/>
    <hyperlink ref="D44" location="'A23'!A1" display="A23" xr:uid="{0260D728-C6AA-4022-8C54-5C779E4D2782}"/>
    <hyperlink ref="D45" location="'A24'!A1" display="A24" xr:uid="{8B9812C2-69DA-4CB3-A6EE-CEF24A4AD5CA}"/>
    <hyperlink ref="D46" location="'A25'!A1" display="A25" xr:uid="{641C26FD-A86C-40E7-B7A3-C40F2939B61A}"/>
    <hyperlink ref="D47" location="'A26'!A1" display="A26" xr:uid="{EA1CBA7A-E131-45EF-8E63-443E0AFFCED0}"/>
    <hyperlink ref="D48" location="'A27'!A1" display="A27" xr:uid="{B5485D3E-F164-4E79-8EFE-BCE842418B05}"/>
    <hyperlink ref="D49" location="'A28'!A1" display="A28" xr:uid="{544A3890-AF90-4847-9348-3DC8D42D8B58}"/>
    <hyperlink ref="D50" location="'A29'!A1" display="A29" xr:uid="{F94A3F99-9E26-4D28-8C3E-3609C6ADC4FA}"/>
    <hyperlink ref="D51" location="'A30'!A1" display="A30" xr:uid="{4C5738D2-3A4B-4037-9470-ACB75E907399}"/>
    <hyperlink ref="D52" location="'A31'!A1" display="A31" xr:uid="{D00B0B97-BD49-4435-B084-04AA32315875}"/>
    <hyperlink ref="D56" location="K!A1" display="K" xr:uid="{3CD42CCB-B7A8-43B5-B12C-37220E50689D}"/>
    <hyperlink ref="D57" location="E!A1" display="E" xr:uid="{1ADC6793-BCCF-421A-AD45-CF2031A0602F}"/>
  </hyperlinks>
  <printOptions horizontalCentered="1"/>
  <pageMargins left="0" right="0" top="0" bottom="0.31496062992125984" header="0" footer="0"/>
  <pageSetup paperSize="9" orientation="portrait" r:id="rId1"/>
  <headerFooter>
    <oddFooter>&amp;L&amp;"Arial,Standard"&amp;8Datei: &amp;Z&amp;F/&amp;A&amp;C&amp;"Arial,Standard"&amp;8Seite &amp;P von &amp;N&amp;R&amp;"Arial,Standard"&amp;8Druck: &amp;D&amp;T Uhr</oddFooter>
  </headerFooter>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7EB6D5-6B88-4FDB-B620-60F7ECEDDA11}">
  <sheetPr codeName="Tabelle32">
    <tabColor theme="7" tint="0.59999389629810485"/>
    <pageSetUpPr autoPageBreaks="0"/>
  </sheetPr>
  <dimension ref="A1:AB51"/>
  <sheetViews>
    <sheetView showGridLines="0" showRowColHeaders="0" zoomScaleNormal="100" workbookViewId="0">
      <pane ySplit="3" topLeftCell="A4" activePane="bottomLeft" state="frozen"/>
      <selection activeCell="O2" sqref="O2:Z3"/>
      <selection pane="bottomLeft" activeCell="A4" sqref="A4"/>
    </sheetView>
  </sheetViews>
  <sheetFormatPr baseColWidth="10" defaultColWidth="9.77734375" defaultRowHeight="12.75"/>
  <cols>
    <col min="1" max="1" width="0.77734375" style="12" customWidth="1"/>
    <col min="2" max="2" width="7.6640625" style="30" customWidth="1"/>
    <col min="3" max="3" width="21.6640625" style="24" customWidth="1"/>
    <col min="4" max="4" width="7.6640625" style="24" customWidth="1"/>
    <col min="5" max="5" width="6.6640625" style="25" customWidth="1"/>
    <col min="6" max="6" width="9.6640625" style="26" customWidth="1"/>
    <col min="7" max="7" width="9.6640625" style="27" customWidth="1"/>
    <col min="8" max="8" width="2.6640625" style="28" customWidth="1"/>
    <col min="9" max="9" width="6.6640625" style="29" customWidth="1"/>
    <col min="10" max="10" width="9.6640625" style="27" customWidth="1"/>
    <col min="11" max="11" width="2.5546875" style="27" hidden="1" customWidth="1"/>
    <col min="12" max="12" width="1.5546875" style="32" hidden="1" customWidth="1"/>
    <col min="13" max="13" width="0.77734375" style="13" customWidth="1"/>
    <col min="14" max="14" width="1.77734375" style="147" customWidth="1"/>
    <col min="15" max="26" width="8.77734375" style="13" customWidth="1"/>
    <col min="27" max="27" width="10.33203125" style="13" customWidth="1"/>
    <col min="28" max="28" width="8.33203125" style="13" customWidth="1"/>
    <col min="29" max="16384" width="9.77734375" style="13"/>
  </cols>
  <sheetData>
    <row r="1" spans="1:28" s="37" customFormat="1" ht="3" customHeight="1" thickBot="1">
      <c r="A1" s="36"/>
      <c r="B1" s="53" t="str">
        <f>+B48</f>
        <v>ü</v>
      </c>
      <c r="C1" s="54">
        <f>+C49</f>
        <v>0</v>
      </c>
      <c r="D1" s="54"/>
      <c r="E1" s="53">
        <f>+E49</f>
        <v>0</v>
      </c>
      <c r="F1" s="53"/>
      <c r="G1" s="54">
        <f>+G49</f>
        <v>0</v>
      </c>
      <c r="H1" s="53"/>
      <c r="I1" s="338" t="str">
        <f>+EÜR!J66</f>
        <v>-</v>
      </c>
      <c r="J1" s="54">
        <f>+J48</f>
        <v>0</v>
      </c>
      <c r="K1" s="198"/>
      <c r="L1" s="56"/>
      <c r="N1" s="190"/>
    </row>
    <row r="2" spans="1:28" ht="23.1" customHeight="1" thickTop="1" thickBot="1">
      <c r="A2" s="36"/>
      <c r="B2" s="295" t="str">
        <f>+EÜR!D18</f>
        <v>U09</v>
      </c>
      <c r="C2" s="1262" t="str">
        <f>+EÜR!F18</f>
        <v>an das FA gezahlte Umsatzsteuer</v>
      </c>
      <c r="D2" s="1263"/>
      <c r="E2" s="1263"/>
      <c r="F2" s="1263"/>
      <c r="G2" s="1263"/>
      <c r="H2" s="1263"/>
      <c r="I2" s="1264"/>
      <c r="J2" s="1227" t="s">
        <v>8</v>
      </c>
      <c r="K2" s="1228"/>
      <c r="L2" s="1229"/>
      <c r="M2" s="134"/>
      <c r="N2" s="190">
        <f>IF(OR(B48="x",N3=1,EÜR!J66="-"),0,1)</f>
        <v>0</v>
      </c>
      <c r="O2" s="188">
        <f>+EOMONTH(EÜR!$I$3,-1)+1</f>
        <v>46023</v>
      </c>
      <c r="P2" s="188">
        <f t="shared" ref="P2:Z2" si="0">+O3+1</f>
        <v>46054</v>
      </c>
      <c r="Q2" s="188">
        <f t="shared" si="0"/>
        <v>46082</v>
      </c>
      <c r="R2" s="188">
        <f t="shared" si="0"/>
        <v>46113</v>
      </c>
      <c r="S2" s="188">
        <f t="shared" si="0"/>
        <v>46143</v>
      </c>
      <c r="T2" s="188">
        <f t="shared" si="0"/>
        <v>46174</v>
      </c>
      <c r="U2" s="188">
        <f t="shared" si="0"/>
        <v>46204</v>
      </c>
      <c r="V2" s="188">
        <f t="shared" si="0"/>
        <v>46235</v>
      </c>
      <c r="W2" s="188">
        <f t="shared" si="0"/>
        <v>46266</v>
      </c>
      <c r="X2" s="188">
        <f t="shared" si="0"/>
        <v>46296</v>
      </c>
      <c r="Y2" s="188">
        <f t="shared" si="0"/>
        <v>46327</v>
      </c>
      <c r="Z2" s="188">
        <f t="shared" si="0"/>
        <v>46357</v>
      </c>
      <c r="AA2" s="48"/>
    </row>
    <row r="3" spans="1:28" ht="14.25" customHeight="1" thickTop="1">
      <c r="A3" s="36" t="s">
        <v>5</v>
      </c>
      <c r="B3" s="58" t="s">
        <v>1</v>
      </c>
      <c r="C3" s="59" t="s">
        <v>6</v>
      </c>
      <c r="D3" s="60"/>
      <c r="E3" s="1125" t="s">
        <v>7</v>
      </c>
      <c r="F3" s="1127" t="s">
        <v>4</v>
      </c>
      <c r="G3" s="62" t="s">
        <v>31</v>
      </c>
      <c r="H3" s="63"/>
      <c r="I3" s="64"/>
      <c r="J3" s="273" t="s">
        <v>213</v>
      </c>
      <c r="K3" s="199">
        <v>0</v>
      </c>
      <c r="L3" s="65" t="s">
        <v>5</v>
      </c>
      <c r="M3" s="135" t="s">
        <v>5</v>
      </c>
      <c r="N3" s="222">
        <f>IF(SUBTOTAL(109,K3:K47)&lt;&gt;SUM(K3:K47),1,0)</f>
        <v>0</v>
      </c>
      <c r="O3" s="189">
        <f>EOMONTH(O2,0)</f>
        <v>46053</v>
      </c>
      <c r="P3" s="189">
        <f t="shared" ref="P3:Z3" si="1">EOMONTH(P2,0)</f>
        <v>46081</v>
      </c>
      <c r="Q3" s="189">
        <f t="shared" si="1"/>
        <v>46112</v>
      </c>
      <c r="R3" s="189">
        <f t="shared" si="1"/>
        <v>46142</v>
      </c>
      <c r="S3" s="189">
        <f t="shared" si="1"/>
        <v>46173</v>
      </c>
      <c r="T3" s="189">
        <f t="shared" si="1"/>
        <v>46203</v>
      </c>
      <c r="U3" s="189">
        <f t="shared" si="1"/>
        <v>46234</v>
      </c>
      <c r="V3" s="189">
        <f t="shared" si="1"/>
        <v>46265</v>
      </c>
      <c r="W3" s="189">
        <f t="shared" si="1"/>
        <v>46295</v>
      </c>
      <c r="X3" s="189">
        <f t="shared" si="1"/>
        <v>46326</v>
      </c>
      <c r="Y3" s="189">
        <f t="shared" si="1"/>
        <v>46356</v>
      </c>
      <c r="Z3" s="189">
        <f t="shared" si="1"/>
        <v>46387</v>
      </c>
      <c r="AB3" s="14"/>
    </row>
    <row r="4" spans="1:28" ht="13.35" customHeight="1">
      <c r="A4" s="50" t="s">
        <v>5</v>
      </c>
      <c r="B4" s="234" t="str">
        <f>+U!$L$37</f>
        <v>!</v>
      </c>
      <c r="C4" s="84" t="s">
        <v>219</v>
      </c>
      <c r="D4" s="283">
        <f>+U!$L$28</f>
        <v>0</v>
      </c>
      <c r="E4" s="1126" t="s">
        <v>230</v>
      </c>
      <c r="F4" s="1128"/>
      <c r="G4" s="1114"/>
      <c r="H4" s="228"/>
      <c r="I4" s="229"/>
      <c r="J4" s="281" t="str">
        <f t="shared" ref="J4:J44" si="2">IF(G4&lt;&gt;0,+G4-I4,"")</f>
        <v/>
      </c>
      <c r="K4" s="200">
        <v>1</v>
      </c>
      <c r="L4" s="133">
        <f>IF(B4&lt;$O$2,0,IF(B4&lt;$P$2,1,IF(B4&lt;$Q$2,2,IF(B4&lt;$R$2,3,IF(B4&lt;$S$2,4,IF(B4&lt;$T$2,5,IF(B4&lt;$U$2,6,IF(B4&lt;$V$2,7,IF(B4&lt;$W$2,8,IF(B4&lt;$X$2,9,IF(B4&lt;$Y$2,10,IF(B4&lt;$Z$2,11,IF(B4&lt;=$Z$3,12,0)))))))))))))</f>
        <v>0</v>
      </c>
      <c r="M4" s="135" t="s">
        <v>5</v>
      </c>
      <c r="N4" s="190">
        <f>+N10+AA12+AA16</f>
        <v>0</v>
      </c>
      <c r="O4" s="251" t="s">
        <v>36</v>
      </c>
      <c r="P4" s="251" t="s">
        <v>37</v>
      </c>
      <c r="Q4" s="251" t="s">
        <v>38</v>
      </c>
      <c r="R4" s="251" t="s">
        <v>39</v>
      </c>
      <c r="S4" s="251" t="s">
        <v>40</v>
      </c>
      <c r="T4" s="251" t="s">
        <v>41</v>
      </c>
      <c r="U4" s="251" t="s">
        <v>42</v>
      </c>
      <c r="V4" s="251" t="s">
        <v>43</v>
      </c>
      <c r="W4" s="251" t="s">
        <v>44</v>
      </c>
      <c r="X4" s="251" t="s">
        <v>45</v>
      </c>
      <c r="Y4" s="251" t="s">
        <v>46</v>
      </c>
      <c r="Z4" s="251" t="s">
        <v>47</v>
      </c>
      <c r="AA4" s="1209" t="s">
        <v>255</v>
      </c>
      <c r="AB4" s="1210"/>
    </row>
    <row r="5" spans="1:28" ht="13.35" customHeight="1">
      <c r="A5" s="50" t="s">
        <v>5</v>
      </c>
      <c r="B5" s="234" t="str">
        <f>+U!$M$37</f>
        <v>!</v>
      </c>
      <c r="C5" s="84" t="s">
        <v>220</v>
      </c>
      <c r="D5" s="283">
        <f>+U!$M$28</f>
        <v>0</v>
      </c>
      <c r="E5" s="1126" t="s">
        <v>231</v>
      </c>
      <c r="F5" s="1128"/>
      <c r="G5" s="1114"/>
      <c r="H5" s="228"/>
      <c r="I5" s="229"/>
      <c r="J5" s="281" t="str">
        <f t="shared" si="2"/>
        <v/>
      </c>
      <c r="K5" s="200">
        <v>2</v>
      </c>
      <c r="L5" s="133">
        <f t="shared" ref="L5:L44" si="3">IF(B5&lt;$O$2,0,IF(B5&lt;$P$2,1,IF(B5&lt;$Q$2,2,IF(B5&lt;$R$2,3,IF(B5&lt;$S$2,4,IF(B5&lt;$T$2,5,IF(B5&lt;$U$2,6,IF(B5&lt;$V$2,7,IF(B5&lt;$W$2,8,IF(B5&lt;$X$2,9,IF(B5&lt;$Y$2,10,IF(B5&lt;$Z$2,11,IF(B5&lt;=$Z$3,12,0)))))))))))))</f>
        <v>0</v>
      </c>
      <c r="M5" s="135" t="s">
        <v>5</v>
      </c>
      <c r="O5" s="252">
        <f>SUMIFS($G$3:$G$47,$L$3:$L$47,1,$F$3:$F$47,"Konto")</f>
        <v>0</v>
      </c>
      <c r="P5" s="252">
        <f>SUMIFS($G$3:$G$47,$L$3:$L$47,2,$F$3:$F$47,"Konto")</f>
        <v>0</v>
      </c>
      <c r="Q5" s="252">
        <f>SUMIFS($G$3:$G$47,$L$3:$L$47,3,$F$3:$F$47,"Konto")</f>
        <v>0</v>
      </c>
      <c r="R5" s="252">
        <f>SUMIFS($G$3:$G$47,$L$3:$L$47,4,$F$3:$F$47,"Konto")</f>
        <v>0</v>
      </c>
      <c r="S5" s="252">
        <f>SUMIFS($G$3:$G$47,$L$3:$L$47,5,$F$3:$F$47,"Konto")</f>
        <v>0</v>
      </c>
      <c r="T5" s="252">
        <f>SUMIFS($G$3:$G$47,$L$3:$L$47,6,$F$3:$F$47,"Konto")</f>
        <v>0</v>
      </c>
      <c r="U5" s="252">
        <f>SUMIFS($G$3:$G$47,$L$3:$L$47,7,$F$3:$F$47,"Konto")</f>
        <v>0</v>
      </c>
      <c r="V5" s="252">
        <f>SUMIFS($G$3:$G$47,$L$3:$L$47,8,$F$3:$F$47,"Konto")</f>
        <v>0</v>
      </c>
      <c r="W5" s="252">
        <f>SUMIFS($G$3:$G$47,$L$3:$L$47,9,$F$3:$F$47,"Konto")</f>
        <v>0</v>
      </c>
      <c r="X5" s="252">
        <f>SUMIFS($G$3:$G$47,$L$3:$L$47,10,$F$3:$F$47,"Konto")</f>
        <v>0</v>
      </c>
      <c r="Y5" s="252">
        <f>SUMIFS($G$3:$G$47,$L$3:$L$47,11,$F$3:$F$47,"Konto")</f>
        <v>0</v>
      </c>
      <c r="Z5" s="252">
        <f>SUMIFS($G$3:$G$47,$L$3:$L$47,12,$F$3:$F$47,"Konto")</f>
        <v>0</v>
      </c>
      <c r="AA5" s="253">
        <f>SUM(O5:Z5)</f>
        <v>0</v>
      </c>
      <c r="AB5" s="254" t="s">
        <v>140</v>
      </c>
    </row>
    <row r="6" spans="1:28" ht="13.35" customHeight="1">
      <c r="A6" s="50" t="s">
        <v>5</v>
      </c>
      <c r="B6" s="234" t="str">
        <f>+U!$N$37</f>
        <v>!</v>
      </c>
      <c r="C6" s="84" t="s">
        <v>221</v>
      </c>
      <c r="D6" s="283">
        <f>+U!$N$28</f>
        <v>0</v>
      </c>
      <c r="E6" s="1126" t="s">
        <v>232</v>
      </c>
      <c r="F6" s="1128"/>
      <c r="G6" s="1114"/>
      <c r="H6" s="228"/>
      <c r="I6" s="229"/>
      <c r="J6" s="281" t="str">
        <f t="shared" si="2"/>
        <v/>
      </c>
      <c r="K6" s="200">
        <v>3</v>
      </c>
      <c r="L6" s="133">
        <f t="shared" si="3"/>
        <v>0</v>
      </c>
      <c r="M6" s="135" t="s">
        <v>5</v>
      </c>
      <c r="N6" s="190"/>
      <c r="O6" s="252">
        <f>SUMIFS($G$3:$G$47,$L$3:$L$47,1,$F$3:$F$47,"Kreditkarte")</f>
        <v>0</v>
      </c>
      <c r="P6" s="252">
        <f>SUMIFS($G$3:$G$47,$L$3:$L$47,2,$F$3:$F$47,"Kreditkarte")</f>
        <v>0</v>
      </c>
      <c r="Q6" s="252">
        <f>SUMIFS($G$3:$G$47,$L$3:$L$47,3,$F$3:$F$47,"Kreditkarte")</f>
        <v>0</v>
      </c>
      <c r="R6" s="252">
        <f>SUMIFS($G$3:$G$47,$L$3:$L$47,4,$F$3:$F$47,"Kreditkarte")</f>
        <v>0</v>
      </c>
      <c r="S6" s="252">
        <f>SUMIFS($G$3:$G$47,$L$3:$L$47,5,$F$3:$F$47,"Kreditkarte")</f>
        <v>0</v>
      </c>
      <c r="T6" s="252">
        <f>SUMIFS($G$3:$G$47,$L$3:$L$47,6,$F$3:$F$47,"Kreditkarte")</f>
        <v>0</v>
      </c>
      <c r="U6" s="252">
        <f>SUMIFS($G$3:$G$47,$L$3:$L$47,7,$F$3:$F$47,"Kreditkarte")</f>
        <v>0</v>
      </c>
      <c r="V6" s="252">
        <f>SUMIFS($G$3:$G$47,$L$3:$L$47,8,$F$3:$F$47,"Kreditkarte")</f>
        <v>0</v>
      </c>
      <c r="W6" s="252">
        <f>SUMIFS($G$3:$G$47,$L$3:$L$47,9,$F$3:$F$47,"Kreditkarte")</f>
        <v>0</v>
      </c>
      <c r="X6" s="252">
        <f>SUMIFS($G$3:$G$47,$L$3:$L$47,10,$F$3:$F$47,"Kreditkarte")</f>
        <v>0</v>
      </c>
      <c r="Y6" s="252">
        <f>SUMIFS($G$3:$G$47,$L$3:$L$47,11,$F$3:$F$47,"Kreditkarte")</f>
        <v>0</v>
      </c>
      <c r="Z6" s="252">
        <f>SUMIFS($G$3:$G$47,$L$3:$L$47,12,$F$3:$F$47,"Kreditkarte")</f>
        <v>0</v>
      </c>
      <c r="AA6" s="255">
        <f t="shared" ref="AA6:AA8" si="4">SUM(O6:Z6)</f>
        <v>0</v>
      </c>
      <c r="AB6" s="256" t="s">
        <v>142</v>
      </c>
    </row>
    <row r="7" spans="1:28" ht="13.35" customHeight="1">
      <c r="A7" s="50" t="s">
        <v>5</v>
      </c>
      <c r="B7" s="234" t="str">
        <f>+U!$O$37</f>
        <v>!</v>
      </c>
      <c r="C7" s="84" t="s">
        <v>222</v>
      </c>
      <c r="D7" s="283">
        <f>+U!$O$28</f>
        <v>0</v>
      </c>
      <c r="E7" s="1126" t="s">
        <v>233</v>
      </c>
      <c r="F7" s="1128"/>
      <c r="G7" s="1114"/>
      <c r="H7" s="228"/>
      <c r="I7" s="229"/>
      <c r="J7" s="281" t="str">
        <f t="shared" si="2"/>
        <v/>
      </c>
      <c r="K7" s="200">
        <v>4</v>
      </c>
      <c r="L7" s="133">
        <f t="shared" si="3"/>
        <v>0</v>
      </c>
      <c r="M7" s="135" t="s">
        <v>5</v>
      </c>
      <c r="O7" s="252">
        <f>SUMIFS($G$3:$G$47,$L$3:$L$47,1,$F$3:$F$47,"Geldbeutel")</f>
        <v>0</v>
      </c>
      <c r="P7" s="252">
        <f>SUMIFS($G$3:$G$47,$L$3:$L$47,2,$F$3:$F$47,"Geldbeutel")</f>
        <v>0</v>
      </c>
      <c r="Q7" s="252">
        <f>SUMIFS($G$3:$G$47,$L$3:$L$47,3,$F$3:$F$47,"Geldbeutel")</f>
        <v>0</v>
      </c>
      <c r="R7" s="252">
        <f>SUMIFS($G$3:$G$47,$L$3:$L$47,4,$F$3:$F$47,"Geldbeutel")</f>
        <v>0</v>
      </c>
      <c r="S7" s="252">
        <f>SUMIFS($G$3:$G$47,$L$3:$L$47,5,$F$3:$F$47,"Geldbeutel")</f>
        <v>0</v>
      </c>
      <c r="T7" s="252">
        <f>SUMIFS($G$3:$G$47,$L$3:$L$47,6,$F$3:$F$47,"Geldbeutel")</f>
        <v>0</v>
      </c>
      <c r="U7" s="252">
        <f>SUMIFS($G$3:$G$47,$L$3:$L$47,7,$F$3:$F$47,"Geldbeutel")</f>
        <v>0</v>
      </c>
      <c r="V7" s="252">
        <f>SUMIFS($G$3:$G$47,$L$3:$L$47,8,$F$3:$F$47,"Geldbeutel")</f>
        <v>0</v>
      </c>
      <c r="W7" s="252">
        <f>SUMIFS($G$3:$G$47,$L$3:$L$47,9,$F$3:$F$47,"Geldbeutel")</f>
        <v>0</v>
      </c>
      <c r="X7" s="252">
        <f>SUMIFS($G$3:$G$47,$L$3:$L$47,10,$F$3:$F$47,"Geldbeutel")</f>
        <v>0</v>
      </c>
      <c r="Y7" s="252">
        <f>SUMIFS($G$3:$G$47,$L$3:$L$47,11,$F$3:$F$47,"Geldbeutel")</f>
        <v>0</v>
      </c>
      <c r="Z7" s="252">
        <f>SUMIFS($G$3:$G$47,$L$3:$L$47,12,$F$3:$F$47,"Geldbeutel")</f>
        <v>0</v>
      </c>
      <c r="AA7" s="253">
        <f t="shared" si="4"/>
        <v>0</v>
      </c>
      <c r="AB7" s="254" t="s">
        <v>139</v>
      </c>
    </row>
    <row r="8" spans="1:28" ht="13.35" customHeight="1">
      <c r="A8" s="50" t="s">
        <v>5</v>
      </c>
      <c r="B8" s="234" t="str">
        <f>+U!$P$37</f>
        <v>!</v>
      </c>
      <c r="C8" s="84" t="s">
        <v>218</v>
      </c>
      <c r="D8" s="283">
        <f>+U!$P$28</f>
        <v>0</v>
      </c>
      <c r="E8" s="1126" t="s">
        <v>234</v>
      </c>
      <c r="F8" s="1128"/>
      <c r="G8" s="1114"/>
      <c r="H8" s="228"/>
      <c r="I8" s="229"/>
      <c r="J8" s="281" t="str">
        <f t="shared" si="2"/>
        <v/>
      </c>
      <c r="K8" s="200">
        <v>5</v>
      </c>
      <c r="L8" s="133">
        <f t="shared" si="3"/>
        <v>0</v>
      </c>
      <c r="M8" s="135" t="s">
        <v>5</v>
      </c>
      <c r="O8" s="252">
        <f>SUMIFS($G$3:$G$47,$L$3:$L$47,1,$F$3:$F$47,"X")</f>
        <v>0</v>
      </c>
      <c r="P8" s="252">
        <f>SUMIFS($G$3:$G$47,$L$3:$L$47,2,$F$3:$F$47,"X")</f>
        <v>0</v>
      </c>
      <c r="Q8" s="252">
        <f>SUMIFS($G$3:$G$47,$L$3:$L$47,3,$F$3:$F$47,"X")</f>
        <v>0</v>
      </c>
      <c r="R8" s="252">
        <f>SUMIFS($G$3:$G$47,$L$3:$L$47,4,$F$3:$F$47,"X")</f>
        <v>0</v>
      </c>
      <c r="S8" s="252">
        <f>SUMIFS($G$3:$G$47,$L$3:$L$47,5,$F$3:$F$47,"X")</f>
        <v>0</v>
      </c>
      <c r="T8" s="252">
        <f>SUMIFS($G$3:$G$47,$L$3:$L$47,6,$F$3:$F$47,"X")</f>
        <v>0</v>
      </c>
      <c r="U8" s="252">
        <f>SUMIFS($G$3:$G$47,$L$3:$L$47,7,$F$3:$F$47,"X")</f>
        <v>0</v>
      </c>
      <c r="V8" s="252">
        <f>SUMIFS($G$3:$G$47,$L$3:$L$47,8,$F$3:$F$47,"X")</f>
        <v>0</v>
      </c>
      <c r="W8" s="252">
        <f>SUMIFS($G$3:$G$47,$L$3:$L$47,9,$F$3:$F$47,"X")</f>
        <v>0</v>
      </c>
      <c r="X8" s="252">
        <f>SUMIFS($G$3:$G$47,$L$3:$L$47,10,$F$3:$F$47,"X")</f>
        <v>0</v>
      </c>
      <c r="Y8" s="252">
        <f>SUMIFS($G$3:$G$47,$L$3:$L$47,11,$F$3:$F$47,"X")</f>
        <v>0</v>
      </c>
      <c r="Z8" s="252">
        <f>SUMIFS($G$3:$G$47,$L$3:$L$47,12,$F$3:$F$47,"X")</f>
        <v>0</v>
      </c>
      <c r="AA8" s="255">
        <f t="shared" si="4"/>
        <v>0</v>
      </c>
      <c r="AB8" s="256" t="s">
        <v>192</v>
      </c>
    </row>
    <row r="9" spans="1:28" ht="13.35" customHeight="1">
      <c r="A9" s="50" t="s">
        <v>5</v>
      </c>
      <c r="B9" s="234" t="str">
        <f>+U!$Q$37</f>
        <v>!</v>
      </c>
      <c r="C9" s="84" t="s">
        <v>223</v>
      </c>
      <c r="D9" s="283">
        <f>+U!$Q$28</f>
        <v>0</v>
      </c>
      <c r="E9" s="1126" t="s">
        <v>235</v>
      </c>
      <c r="F9" s="1128"/>
      <c r="G9" s="1114"/>
      <c r="H9" s="228"/>
      <c r="I9" s="229"/>
      <c r="J9" s="281" t="str">
        <f t="shared" si="2"/>
        <v/>
      </c>
      <c r="K9" s="200">
        <v>6</v>
      </c>
      <c r="L9" s="133">
        <f t="shared" si="3"/>
        <v>0</v>
      </c>
      <c r="M9" s="135" t="s">
        <v>5</v>
      </c>
      <c r="N9" s="191">
        <f>IF(OR(AND(AA14&lt;&gt;0,B48="x"),(O14+AA13)&lt;&gt;H48),1,0)</f>
        <v>0</v>
      </c>
      <c r="O9" s="257">
        <f>SUM(O5:O8)</f>
        <v>0</v>
      </c>
      <c r="P9" s="257">
        <f t="shared" ref="P9:Z9" si="5">SUM(P5:P8)</f>
        <v>0</v>
      </c>
      <c r="Q9" s="257">
        <f t="shared" si="5"/>
        <v>0</v>
      </c>
      <c r="R9" s="257">
        <f t="shared" si="5"/>
        <v>0</v>
      </c>
      <c r="S9" s="257">
        <f t="shared" si="5"/>
        <v>0</v>
      </c>
      <c r="T9" s="257">
        <f t="shared" si="5"/>
        <v>0</v>
      </c>
      <c r="U9" s="257">
        <f t="shared" si="5"/>
        <v>0</v>
      </c>
      <c r="V9" s="257">
        <f t="shared" si="5"/>
        <v>0</v>
      </c>
      <c r="W9" s="257">
        <f t="shared" si="5"/>
        <v>0</v>
      </c>
      <c r="X9" s="257">
        <f t="shared" si="5"/>
        <v>0</v>
      </c>
      <c r="Y9" s="257">
        <f t="shared" si="5"/>
        <v>0</v>
      </c>
      <c r="Z9" s="257">
        <f t="shared" si="5"/>
        <v>0</v>
      </c>
      <c r="AA9" s="1211" t="s">
        <v>197</v>
      </c>
      <c r="AB9" s="1212"/>
    </row>
    <row r="10" spans="1:28" ht="13.35" customHeight="1">
      <c r="A10" s="50" t="s">
        <v>5</v>
      </c>
      <c r="B10" s="234" t="str">
        <f>+U!$R$37</f>
        <v>!</v>
      </c>
      <c r="C10" s="84" t="s">
        <v>224</v>
      </c>
      <c r="D10" s="283">
        <f>+U!$R$28</f>
        <v>0</v>
      </c>
      <c r="E10" s="1126" t="s">
        <v>236</v>
      </c>
      <c r="F10" s="1128"/>
      <c r="G10" s="1114"/>
      <c r="H10" s="228"/>
      <c r="I10" s="229"/>
      <c r="J10" s="281" t="str">
        <f t="shared" si="2"/>
        <v/>
      </c>
      <c r="K10" s="200">
        <v>7</v>
      </c>
      <c r="L10" s="133">
        <f t="shared" si="3"/>
        <v>0</v>
      </c>
      <c r="M10" s="135" t="s">
        <v>5</v>
      </c>
      <c r="N10" s="259">
        <f>IF(O10+AA10&lt;&gt;G48,1,0)</f>
        <v>0</v>
      </c>
      <c r="O10" s="1278">
        <f>SUM(O5:Z8)</f>
        <v>0</v>
      </c>
      <c r="P10" s="1279"/>
      <c r="Q10" s="1279"/>
      <c r="R10" s="1279"/>
      <c r="S10" s="1279"/>
      <c r="T10" s="1279"/>
      <c r="U10" s="1279"/>
      <c r="V10" s="1279"/>
      <c r="W10" s="1279"/>
      <c r="X10" s="1279"/>
      <c r="Y10" s="1279"/>
      <c r="Z10" s="1280"/>
      <c r="AA10" s="292">
        <f>+G48-AA7-AA6-AA5-AA8</f>
        <v>0</v>
      </c>
      <c r="AB10" s="293" t="s">
        <v>205</v>
      </c>
    </row>
    <row r="11" spans="1:28" ht="13.35" customHeight="1">
      <c r="A11" s="50" t="s">
        <v>5</v>
      </c>
      <c r="B11" s="234" t="str">
        <f>+U!$S$37</f>
        <v>!</v>
      </c>
      <c r="C11" s="84" t="s">
        <v>225</v>
      </c>
      <c r="D11" s="283">
        <f>+U!$S$28</f>
        <v>0</v>
      </c>
      <c r="E11" s="1126" t="s">
        <v>237</v>
      </c>
      <c r="F11" s="1128"/>
      <c r="G11" s="1114"/>
      <c r="H11" s="228"/>
      <c r="I11" s="229"/>
      <c r="J11" s="281" t="str">
        <f t="shared" si="2"/>
        <v/>
      </c>
      <c r="K11" s="200">
        <v>8</v>
      </c>
      <c r="L11" s="133">
        <f t="shared" si="3"/>
        <v>0</v>
      </c>
      <c r="M11" s="135" t="s">
        <v>5</v>
      </c>
      <c r="O11" s="1248" t="str">
        <f>IF(N4&gt;0,"Fehler!","")</f>
        <v/>
      </c>
      <c r="P11" s="1248"/>
      <c r="Q11" s="1248"/>
      <c r="R11" s="1248"/>
      <c r="S11" s="1248"/>
      <c r="T11" s="1248"/>
      <c r="U11" s="1248"/>
      <c r="V11" s="1248"/>
      <c r="W11" s="1248"/>
      <c r="X11" s="1248"/>
      <c r="Y11" s="1248"/>
      <c r="Z11" s="1248"/>
    </row>
    <row r="12" spans="1:28" ht="13.35" customHeight="1">
      <c r="A12" s="50" t="s">
        <v>5</v>
      </c>
      <c r="B12" s="234" t="str">
        <f>+U!$T$37</f>
        <v>!</v>
      </c>
      <c r="C12" s="84" t="s">
        <v>226</v>
      </c>
      <c r="D12" s="283">
        <f>+U!$T$28</f>
        <v>0</v>
      </c>
      <c r="E12" s="1126" t="s">
        <v>238</v>
      </c>
      <c r="F12" s="1128"/>
      <c r="G12" s="1114"/>
      <c r="H12" s="228"/>
      <c r="I12" s="229"/>
      <c r="J12" s="281" t="str">
        <f t="shared" si="2"/>
        <v/>
      </c>
      <c r="K12" s="200">
        <v>9</v>
      </c>
      <c r="L12" s="133">
        <f t="shared" si="3"/>
        <v>0</v>
      </c>
      <c r="M12" s="135" t="s">
        <v>5</v>
      </c>
      <c r="AA12" s="38">
        <f>IF(O14+AA13&lt;&gt;H48,1,0)</f>
        <v>0</v>
      </c>
    </row>
    <row r="13" spans="1:28" ht="13.35" customHeight="1">
      <c r="A13" s="50" t="s">
        <v>5</v>
      </c>
      <c r="B13" s="234" t="str">
        <f>+U!$U$37</f>
        <v>!</v>
      </c>
      <c r="C13" s="84" t="s">
        <v>227</v>
      </c>
      <c r="D13" s="283">
        <f>+U!$U$28</f>
        <v>0</v>
      </c>
      <c r="E13" s="1126" t="s">
        <v>239</v>
      </c>
      <c r="F13" s="1128"/>
      <c r="G13" s="1114"/>
      <c r="H13" s="228"/>
      <c r="I13" s="229"/>
      <c r="J13" s="281" t="str">
        <f t="shared" si="2"/>
        <v/>
      </c>
      <c r="K13" s="200">
        <v>10</v>
      </c>
      <c r="L13" s="133">
        <f t="shared" si="3"/>
        <v>0</v>
      </c>
      <c r="M13" s="135" t="s">
        <v>5</v>
      </c>
    </row>
    <row r="14" spans="1:28" ht="13.35" customHeight="1">
      <c r="A14" s="50" t="s">
        <v>5</v>
      </c>
      <c r="B14" s="234" t="str">
        <f>+U!$V$37</f>
        <v>!</v>
      </c>
      <c r="C14" s="84" t="s">
        <v>228</v>
      </c>
      <c r="D14" s="283">
        <f>+U!$V$28</f>
        <v>0</v>
      </c>
      <c r="E14" s="1126" t="s">
        <v>240</v>
      </c>
      <c r="F14" s="1128"/>
      <c r="G14" s="1114"/>
      <c r="H14" s="228"/>
      <c r="I14" s="229"/>
      <c r="J14" s="281" t="str">
        <f t="shared" si="2"/>
        <v/>
      </c>
      <c r="K14" s="200">
        <v>11</v>
      </c>
      <c r="L14" s="133">
        <f t="shared" si="3"/>
        <v>0</v>
      </c>
      <c r="M14" s="135" t="s">
        <v>5</v>
      </c>
    </row>
    <row r="15" spans="1:28" ht="13.35" customHeight="1">
      <c r="A15" s="50" t="s">
        <v>5</v>
      </c>
      <c r="B15" s="234" t="str">
        <f>+U!$W$37</f>
        <v>!</v>
      </c>
      <c r="C15" s="261" t="s">
        <v>229</v>
      </c>
      <c r="D15" s="283">
        <f>+U!$W$28</f>
        <v>0</v>
      </c>
      <c r="E15" s="1126" t="s">
        <v>241</v>
      </c>
      <c r="F15" s="1128"/>
      <c r="G15" s="1114"/>
      <c r="H15" s="228"/>
      <c r="I15" s="229"/>
      <c r="J15" s="281" t="str">
        <f t="shared" si="2"/>
        <v/>
      </c>
      <c r="K15" s="200">
        <v>12</v>
      </c>
      <c r="L15" s="133">
        <f t="shared" si="3"/>
        <v>0</v>
      </c>
      <c r="M15" s="135" t="s">
        <v>5</v>
      </c>
    </row>
    <row r="16" spans="1:28" ht="13.35" customHeight="1">
      <c r="A16" s="50" t="s">
        <v>5</v>
      </c>
      <c r="B16" s="284"/>
      <c r="C16" s="1267"/>
      <c r="D16" s="1268"/>
      <c r="E16" s="1268"/>
      <c r="F16" s="1275"/>
      <c r="G16" s="1124"/>
      <c r="H16" s="1277">
        <f>SUM(G4:G15)</f>
        <v>0</v>
      </c>
      <c r="I16" s="1266"/>
      <c r="J16" s="365"/>
      <c r="K16" s="200">
        <v>13</v>
      </c>
      <c r="L16" s="133">
        <f t="shared" si="3"/>
        <v>0</v>
      </c>
      <c r="M16" s="135" t="s">
        <v>5</v>
      </c>
    </row>
    <row r="17" spans="1:13" ht="13.35" customHeight="1">
      <c r="A17" s="50" t="s">
        <v>5</v>
      </c>
      <c r="B17" s="885"/>
      <c r="C17" s="883" t="s">
        <v>448</v>
      </c>
      <c r="D17" s="880"/>
      <c r="E17" s="881"/>
      <c r="F17" s="882"/>
      <c r="G17" s="884">
        <f>IF(EÜR!I69&lt;0,+EÜR!I69,0)</f>
        <v>0</v>
      </c>
      <c r="H17" s="228"/>
      <c r="I17" s="229"/>
      <c r="J17" s="886" t="str">
        <f t="shared" si="2"/>
        <v/>
      </c>
      <c r="K17" s="200">
        <v>14</v>
      </c>
      <c r="L17" s="133">
        <f t="shared" si="3"/>
        <v>0</v>
      </c>
      <c r="M17" s="135" t="s">
        <v>5</v>
      </c>
    </row>
    <row r="18" spans="1:13" ht="13.35" customHeight="1">
      <c r="A18" s="50" t="s">
        <v>5</v>
      </c>
      <c r="B18" s="141"/>
      <c r="C18" s="80"/>
      <c r="D18" s="93"/>
      <c r="E18" s="226"/>
      <c r="F18" s="89"/>
      <c r="G18" s="81"/>
      <c r="H18" s="228"/>
      <c r="I18" s="229"/>
      <c r="J18" s="281" t="str">
        <f t="shared" si="2"/>
        <v/>
      </c>
      <c r="K18" s="200">
        <v>15</v>
      </c>
      <c r="L18" s="133">
        <f t="shared" si="3"/>
        <v>0</v>
      </c>
      <c r="M18" s="135" t="s">
        <v>5</v>
      </c>
    </row>
    <row r="19" spans="1:13" ht="13.35" customHeight="1">
      <c r="A19" s="50" t="s">
        <v>5</v>
      </c>
      <c r="B19" s="141"/>
      <c r="C19" s="80"/>
      <c r="D19" s="93"/>
      <c r="E19" s="226"/>
      <c r="F19" s="89"/>
      <c r="G19" s="81"/>
      <c r="H19" s="228"/>
      <c r="I19" s="229"/>
      <c r="J19" s="281" t="str">
        <f t="shared" si="2"/>
        <v/>
      </c>
      <c r="K19" s="200">
        <v>16</v>
      </c>
      <c r="L19" s="133">
        <f t="shared" si="3"/>
        <v>0</v>
      </c>
      <c r="M19" s="135" t="s">
        <v>5</v>
      </c>
    </row>
    <row r="20" spans="1:13" ht="13.35" customHeight="1">
      <c r="A20" s="50" t="s">
        <v>5</v>
      </c>
      <c r="B20" s="141"/>
      <c r="C20" s="80"/>
      <c r="D20" s="93"/>
      <c r="E20" s="226"/>
      <c r="F20" s="89"/>
      <c r="G20" s="81"/>
      <c r="H20" s="228"/>
      <c r="I20" s="229"/>
      <c r="J20" s="281" t="str">
        <f t="shared" si="2"/>
        <v/>
      </c>
      <c r="K20" s="200">
        <v>17</v>
      </c>
      <c r="L20" s="133">
        <f t="shared" si="3"/>
        <v>0</v>
      </c>
      <c r="M20" s="135" t="s">
        <v>5</v>
      </c>
    </row>
    <row r="21" spans="1:13" ht="13.35" customHeight="1">
      <c r="A21" s="50" t="s">
        <v>5</v>
      </c>
      <c r="B21" s="141"/>
      <c r="C21" s="80"/>
      <c r="D21" s="93"/>
      <c r="E21" s="226"/>
      <c r="F21" s="89"/>
      <c r="G21" s="81"/>
      <c r="H21" s="228"/>
      <c r="I21" s="229"/>
      <c r="J21" s="281" t="str">
        <f t="shared" si="2"/>
        <v/>
      </c>
      <c r="K21" s="200">
        <v>18</v>
      </c>
      <c r="L21" s="133">
        <f t="shared" si="3"/>
        <v>0</v>
      </c>
      <c r="M21" s="135" t="s">
        <v>5</v>
      </c>
    </row>
    <row r="22" spans="1:13" ht="13.35" customHeight="1">
      <c r="A22" s="50" t="s">
        <v>5</v>
      </c>
      <c r="B22" s="141"/>
      <c r="C22" s="80"/>
      <c r="D22" s="93"/>
      <c r="E22" s="226"/>
      <c r="F22" s="89"/>
      <c r="G22" s="81"/>
      <c r="H22" s="228"/>
      <c r="I22" s="229"/>
      <c r="J22" s="281" t="str">
        <f t="shared" si="2"/>
        <v/>
      </c>
      <c r="K22" s="200">
        <v>19</v>
      </c>
      <c r="L22" s="133">
        <f t="shared" si="3"/>
        <v>0</v>
      </c>
      <c r="M22" s="135" t="s">
        <v>5</v>
      </c>
    </row>
    <row r="23" spans="1:13" ht="13.35" customHeight="1">
      <c r="A23" s="50" t="s">
        <v>5</v>
      </c>
      <c r="B23" s="141"/>
      <c r="C23" s="80"/>
      <c r="D23" s="94"/>
      <c r="E23" s="226"/>
      <c r="F23" s="89"/>
      <c r="G23" s="81"/>
      <c r="H23" s="228"/>
      <c r="I23" s="229"/>
      <c r="J23" s="281" t="str">
        <f t="shared" si="2"/>
        <v/>
      </c>
      <c r="K23" s="200">
        <v>20</v>
      </c>
      <c r="L23" s="133">
        <f t="shared" si="3"/>
        <v>0</v>
      </c>
      <c r="M23" s="135" t="s">
        <v>5</v>
      </c>
    </row>
    <row r="24" spans="1:13" ht="13.35" customHeight="1">
      <c r="A24" s="50" t="s">
        <v>5</v>
      </c>
      <c r="B24" s="141"/>
      <c r="C24" s="80"/>
      <c r="D24" s="93"/>
      <c r="E24" s="226"/>
      <c r="F24" s="89"/>
      <c r="G24" s="81"/>
      <c r="H24" s="228"/>
      <c r="I24" s="229"/>
      <c r="J24" s="281" t="str">
        <f t="shared" si="2"/>
        <v/>
      </c>
      <c r="K24" s="200">
        <v>21</v>
      </c>
      <c r="L24" s="133">
        <f t="shared" si="3"/>
        <v>0</v>
      </c>
      <c r="M24" s="135" t="s">
        <v>5</v>
      </c>
    </row>
    <row r="25" spans="1:13" ht="13.35" customHeight="1">
      <c r="A25" s="50" t="s">
        <v>5</v>
      </c>
      <c r="B25" s="141"/>
      <c r="C25" s="80"/>
      <c r="D25" s="93"/>
      <c r="E25" s="226"/>
      <c r="F25" s="89"/>
      <c r="G25" s="81"/>
      <c r="H25" s="228"/>
      <c r="I25" s="229"/>
      <c r="J25" s="281" t="str">
        <f t="shared" si="2"/>
        <v/>
      </c>
      <c r="K25" s="200">
        <v>22</v>
      </c>
      <c r="L25" s="133">
        <f t="shared" si="3"/>
        <v>0</v>
      </c>
      <c r="M25" s="135" t="s">
        <v>5</v>
      </c>
    </row>
    <row r="26" spans="1:13" ht="13.35" customHeight="1">
      <c r="A26" s="50" t="s">
        <v>5</v>
      </c>
      <c r="B26" s="141"/>
      <c r="C26" s="80"/>
      <c r="D26" s="93"/>
      <c r="E26" s="226"/>
      <c r="F26" s="89"/>
      <c r="G26" s="81"/>
      <c r="H26" s="228"/>
      <c r="I26" s="229"/>
      <c r="J26" s="281" t="str">
        <f t="shared" si="2"/>
        <v/>
      </c>
      <c r="K26" s="200">
        <v>23</v>
      </c>
      <c r="L26" s="133">
        <f t="shared" si="3"/>
        <v>0</v>
      </c>
      <c r="M26" s="135" t="s">
        <v>5</v>
      </c>
    </row>
    <row r="27" spans="1:13" ht="13.35" customHeight="1">
      <c r="A27" s="50" t="s">
        <v>5</v>
      </c>
      <c r="B27" s="141"/>
      <c r="C27" s="80"/>
      <c r="D27" s="93"/>
      <c r="E27" s="226"/>
      <c r="F27" s="89"/>
      <c r="G27" s="81"/>
      <c r="H27" s="228"/>
      <c r="I27" s="229"/>
      <c r="J27" s="281" t="str">
        <f t="shared" si="2"/>
        <v/>
      </c>
      <c r="K27" s="200">
        <v>24</v>
      </c>
      <c r="L27" s="133">
        <f t="shared" si="3"/>
        <v>0</v>
      </c>
      <c r="M27" s="135" t="s">
        <v>5</v>
      </c>
    </row>
    <row r="28" spans="1:13" ht="13.35" customHeight="1">
      <c r="A28" s="50" t="s">
        <v>5</v>
      </c>
      <c r="B28" s="141"/>
      <c r="C28" s="80"/>
      <c r="D28" s="93"/>
      <c r="E28" s="226"/>
      <c r="F28" s="89"/>
      <c r="G28" s="81"/>
      <c r="H28" s="228"/>
      <c r="I28" s="229"/>
      <c r="J28" s="281" t="str">
        <f t="shared" si="2"/>
        <v/>
      </c>
      <c r="K28" s="200">
        <v>25</v>
      </c>
      <c r="L28" s="133">
        <f t="shared" si="3"/>
        <v>0</v>
      </c>
      <c r="M28" s="135" t="s">
        <v>5</v>
      </c>
    </row>
    <row r="29" spans="1:13" ht="13.35" customHeight="1">
      <c r="A29" s="50" t="s">
        <v>5</v>
      </c>
      <c r="B29" s="141"/>
      <c r="C29" s="80"/>
      <c r="D29" s="93"/>
      <c r="E29" s="226"/>
      <c r="F29" s="89"/>
      <c r="G29" s="81"/>
      <c r="H29" s="228"/>
      <c r="I29" s="229"/>
      <c r="J29" s="281" t="str">
        <f t="shared" si="2"/>
        <v/>
      </c>
      <c r="K29" s="200">
        <v>26</v>
      </c>
      <c r="L29" s="133">
        <f t="shared" si="3"/>
        <v>0</v>
      </c>
      <c r="M29" s="135" t="s">
        <v>5</v>
      </c>
    </row>
    <row r="30" spans="1:13" ht="13.35" customHeight="1">
      <c r="A30" s="50" t="s">
        <v>5</v>
      </c>
      <c r="B30" s="141"/>
      <c r="C30" s="80"/>
      <c r="D30" s="93"/>
      <c r="E30" s="226"/>
      <c r="F30" s="89"/>
      <c r="G30" s="81"/>
      <c r="H30" s="228"/>
      <c r="I30" s="229"/>
      <c r="J30" s="281" t="str">
        <f t="shared" si="2"/>
        <v/>
      </c>
      <c r="K30" s="200">
        <v>27</v>
      </c>
      <c r="L30" s="133">
        <f t="shared" si="3"/>
        <v>0</v>
      </c>
      <c r="M30" s="135" t="s">
        <v>5</v>
      </c>
    </row>
    <row r="31" spans="1:13" ht="13.35" customHeight="1">
      <c r="A31" s="50" t="s">
        <v>5</v>
      </c>
      <c r="B31" s="141"/>
      <c r="C31" s="80"/>
      <c r="D31" s="93"/>
      <c r="E31" s="226"/>
      <c r="F31" s="89"/>
      <c r="G31" s="81"/>
      <c r="H31" s="228"/>
      <c r="I31" s="229"/>
      <c r="J31" s="281" t="str">
        <f t="shared" si="2"/>
        <v/>
      </c>
      <c r="K31" s="200">
        <v>28</v>
      </c>
      <c r="L31" s="133">
        <f t="shared" si="3"/>
        <v>0</v>
      </c>
      <c r="M31" s="135" t="s">
        <v>5</v>
      </c>
    </row>
    <row r="32" spans="1:13" ht="13.35" customHeight="1">
      <c r="A32" s="50" t="s">
        <v>5</v>
      </c>
      <c r="B32" s="141"/>
      <c r="C32" s="80"/>
      <c r="D32" s="93"/>
      <c r="E32" s="226"/>
      <c r="F32" s="89"/>
      <c r="G32" s="81"/>
      <c r="H32" s="228"/>
      <c r="I32" s="229"/>
      <c r="J32" s="281" t="str">
        <f t="shared" si="2"/>
        <v/>
      </c>
      <c r="K32" s="200">
        <v>29</v>
      </c>
      <c r="L32" s="133">
        <f t="shared" si="3"/>
        <v>0</v>
      </c>
      <c r="M32" s="135" t="s">
        <v>5</v>
      </c>
    </row>
    <row r="33" spans="1:13" ht="13.35" customHeight="1">
      <c r="A33" s="50" t="s">
        <v>5</v>
      </c>
      <c r="B33" s="141"/>
      <c r="C33" s="80"/>
      <c r="D33" s="93"/>
      <c r="E33" s="226"/>
      <c r="F33" s="89"/>
      <c r="G33" s="81"/>
      <c r="H33" s="228"/>
      <c r="I33" s="229"/>
      <c r="J33" s="281" t="str">
        <f t="shared" si="2"/>
        <v/>
      </c>
      <c r="K33" s="200">
        <v>30</v>
      </c>
      <c r="L33" s="133">
        <f t="shared" si="3"/>
        <v>0</v>
      </c>
      <c r="M33" s="135" t="s">
        <v>5</v>
      </c>
    </row>
    <row r="34" spans="1:13" ht="13.35" customHeight="1">
      <c r="A34" s="50" t="s">
        <v>5</v>
      </c>
      <c r="B34" s="141"/>
      <c r="C34" s="80"/>
      <c r="D34" s="93"/>
      <c r="E34" s="226"/>
      <c r="F34" s="89"/>
      <c r="G34" s="81"/>
      <c r="H34" s="228"/>
      <c r="I34" s="229"/>
      <c r="J34" s="281" t="str">
        <f t="shared" si="2"/>
        <v/>
      </c>
      <c r="K34" s="200">
        <v>31</v>
      </c>
      <c r="L34" s="133">
        <f t="shared" si="3"/>
        <v>0</v>
      </c>
      <c r="M34" s="135" t="s">
        <v>5</v>
      </c>
    </row>
    <row r="35" spans="1:13" ht="13.35" customHeight="1">
      <c r="A35" s="50" t="s">
        <v>5</v>
      </c>
      <c r="B35" s="141"/>
      <c r="C35" s="80"/>
      <c r="D35" s="93"/>
      <c r="E35" s="226"/>
      <c r="F35" s="89"/>
      <c r="G35" s="81"/>
      <c r="H35" s="228"/>
      <c r="I35" s="229"/>
      <c r="J35" s="281" t="str">
        <f t="shared" si="2"/>
        <v/>
      </c>
      <c r="K35" s="200">
        <v>32</v>
      </c>
      <c r="L35" s="133">
        <f t="shared" si="3"/>
        <v>0</v>
      </c>
      <c r="M35" s="135" t="s">
        <v>5</v>
      </c>
    </row>
    <row r="36" spans="1:13" ht="13.35" customHeight="1">
      <c r="A36" s="50" t="s">
        <v>5</v>
      </c>
      <c r="B36" s="141"/>
      <c r="C36" s="80"/>
      <c r="D36" s="93"/>
      <c r="E36" s="226"/>
      <c r="F36" s="89"/>
      <c r="G36" s="81"/>
      <c r="H36" s="228"/>
      <c r="I36" s="229"/>
      <c r="J36" s="281" t="str">
        <f t="shared" si="2"/>
        <v/>
      </c>
      <c r="K36" s="200">
        <v>33</v>
      </c>
      <c r="L36" s="133">
        <f t="shared" si="3"/>
        <v>0</v>
      </c>
      <c r="M36" s="135" t="s">
        <v>5</v>
      </c>
    </row>
    <row r="37" spans="1:13" ht="13.35" customHeight="1">
      <c r="A37" s="50" t="s">
        <v>5</v>
      </c>
      <c r="B37" s="141"/>
      <c r="C37" s="80"/>
      <c r="D37" s="93"/>
      <c r="E37" s="226"/>
      <c r="F37" s="89"/>
      <c r="G37" s="81"/>
      <c r="H37" s="228"/>
      <c r="I37" s="229"/>
      <c r="J37" s="281" t="str">
        <f t="shared" si="2"/>
        <v/>
      </c>
      <c r="K37" s="200">
        <v>34</v>
      </c>
      <c r="L37" s="133">
        <f t="shared" si="3"/>
        <v>0</v>
      </c>
      <c r="M37" s="135" t="s">
        <v>5</v>
      </c>
    </row>
    <row r="38" spans="1:13" ht="13.35" customHeight="1">
      <c r="A38" s="50" t="s">
        <v>5</v>
      </c>
      <c r="B38" s="141"/>
      <c r="C38" s="80"/>
      <c r="D38" s="93"/>
      <c r="E38" s="226"/>
      <c r="F38" s="89"/>
      <c r="G38" s="81"/>
      <c r="H38" s="228"/>
      <c r="I38" s="229"/>
      <c r="J38" s="281" t="str">
        <f t="shared" si="2"/>
        <v/>
      </c>
      <c r="K38" s="200">
        <v>35</v>
      </c>
      <c r="L38" s="133">
        <f t="shared" si="3"/>
        <v>0</v>
      </c>
      <c r="M38" s="135" t="s">
        <v>5</v>
      </c>
    </row>
    <row r="39" spans="1:13" ht="13.35" customHeight="1">
      <c r="A39" s="50" t="s">
        <v>5</v>
      </c>
      <c r="B39" s="141"/>
      <c r="C39" s="80"/>
      <c r="D39" s="93"/>
      <c r="E39" s="226"/>
      <c r="F39" s="89"/>
      <c r="G39" s="81"/>
      <c r="H39" s="228"/>
      <c r="I39" s="229"/>
      <c r="J39" s="281" t="str">
        <f t="shared" si="2"/>
        <v/>
      </c>
      <c r="K39" s="200">
        <v>36</v>
      </c>
      <c r="L39" s="133">
        <f t="shared" si="3"/>
        <v>0</v>
      </c>
      <c r="M39" s="135" t="s">
        <v>5</v>
      </c>
    </row>
    <row r="40" spans="1:13" ht="13.35" customHeight="1">
      <c r="A40" s="50" t="s">
        <v>5</v>
      </c>
      <c r="B40" s="141"/>
      <c r="C40" s="80"/>
      <c r="D40" s="93"/>
      <c r="E40" s="226"/>
      <c r="F40" s="89"/>
      <c r="G40" s="81"/>
      <c r="H40" s="228"/>
      <c r="I40" s="229"/>
      <c r="J40" s="281" t="str">
        <f t="shared" si="2"/>
        <v/>
      </c>
      <c r="K40" s="200">
        <v>37</v>
      </c>
      <c r="L40" s="133">
        <f t="shared" si="3"/>
        <v>0</v>
      </c>
      <c r="M40" s="135" t="s">
        <v>5</v>
      </c>
    </row>
    <row r="41" spans="1:13" ht="13.35" customHeight="1">
      <c r="A41" s="50" t="s">
        <v>5</v>
      </c>
      <c r="B41" s="141"/>
      <c r="C41" s="80"/>
      <c r="D41" s="93"/>
      <c r="E41" s="226"/>
      <c r="F41" s="89"/>
      <c r="G41" s="81"/>
      <c r="H41" s="228"/>
      <c r="I41" s="229"/>
      <c r="J41" s="281" t="str">
        <f t="shared" si="2"/>
        <v/>
      </c>
      <c r="K41" s="200">
        <v>38</v>
      </c>
      <c r="L41" s="133">
        <f t="shared" si="3"/>
        <v>0</v>
      </c>
      <c r="M41" s="135" t="s">
        <v>5</v>
      </c>
    </row>
    <row r="42" spans="1:13" ht="13.35" customHeight="1">
      <c r="A42" s="50" t="s">
        <v>5</v>
      </c>
      <c r="B42" s="141"/>
      <c r="C42" s="80"/>
      <c r="D42" s="93"/>
      <c r="E42" s="226"/>
      <c r="F42" s="89"/>
      <c r="G42" s="81"/>
      <c r="H42" s="228"/>
      <c r="I42" s="229"/>
      <c r="J42" s="281" t="str">
        <f t="shared" si="2"/>
        <v/>
      </c>
      <c r="K42" s="200">
        <v>39</v>
      </c>
      <c r="L42" s="133">
        <f t="shared" si="3"/>
        <v>0</v>
      </c>
      <c r="M42" s="135" t="s">
        <v>5</v>
      </c>
    </row>
    <row r="43" spans="1:13" ht="13.35" customHeight="1">
      <c r="A43" s="50" t="s">
        <v>5</v>
      </c>
      <c r="B43" s="141"/>
      <c r="C43" s="80"/>
      <c r="D43" s="93"/>
      <c r="E43" s="226"/>
      <c r="F43" s="89"/>
      <c r="G43" s="81"/>
      <c r="H43" s="228"/>
      <c r="I43" s="229"/>
      <c r="J43" s="281" t="str">
        <f t="shared" si="2"/>
        <v/>
      </c>
      <c r="K43" s="200">
        <v>40</v>
      </c>
      <c r="L43" s="133">
        <f t="shared" si="3"/>
        <v>0</v>
      </c>
      <c r="M43" s="135" t="s">
        <v>5</v>
      </c>
    </row>
    <row r="44" spans="1:13" ht="13.35" customHeight="1">
      <c r="A44" s="50" t="s">
        <v>5</v>
      </c>
      <c r="B44" s="141"/>
      <c r="C44" s="80"/>
      <c r="D44" s="93"/>
      <c r="E44" s="226"/>
      <c r="F44" s="89"/>
      <c r="G44" s="81"/>
      <c r="H44" s="228"/>
      <c r="I44" s="229"/>
      <c r="J44" s="281" t="str">
        <f t="shared" si="2"/>
        <v/>
      </c>
      <c r="K44" s="200">
        <v>41</v>
      </c>
      <c r="L44" s="133">
        <f t="shared" si="3"/>
        <v>0</v>
      </c>
      <c r="M44" s="135" t="s">
        <v>5</v>
      </c>
    </row>
    <row r="45" spans="1:13" ht="13.35" customHeight="1">
      <c r="A45" s="50" t="s">
        <v>5</v>
      </c>
      <c r="B45" s="242"/>
      <c r="C45" s="181"/>
      <c r="D45" s="182"/>
      <c r="E45" s="285"/>
      <c r="F45" s="183"/>
      <c r="G45" s="85"/>
      <c r="H45" s="228"/>
      <c r="I45" s="229"/>
      <c r="J45" s="286" t="str">
        <f t="shared" ref="J45:J46" si="6">IF(G45&lt;&gt;0,+G45-I45,"")</f>
        <v/>
      </c>
      <c r="K45" s="200">
        <v>44</v>
      </c>
      <c r="L45" s="133">
        <f t="shared" ref="L45:L46" si="7">IF(B45&lt;$O$2,0,IF(B45&lt;$P$2,1,IF(B45&lt;$Q$2,2,IF(B45&lt;$R$2,3,IF(B45&lt;$S$2,4,IF(B45&lt;$T$2,5,IF(B45&lt;$U$2,6,IF(B45&lt;$V$2,7,IF(B45&lt;$W$2,8,IF(B45&lt;$X$2,9,IF(B45&lt;$Y$2,10,IF(B45&lt;$Z$2,11,IF(B45&lt;=$Z$3,12,0)))))))))))))</f>
        <v>0</v>
      </c>
      <c r="M45" s="135" t="s">
        <v>5</v>
      </c>
    </row>
    <row r="46" spans="1:13" ht="13.35" customHeight="1" thickBot="1">
      <c r="A46" s="50" t="s">
        <v>5</v>
      </c>
      <c r="B46" s="242"/>
      <c r="C46" s="181"/>
      <c r="D46" s="182"/>
      <c r="E46" s="285"/>
      <c r="F46" s="183"/>
      <c r="G46" s="85"/>
      <c r="H46" s="228"/>
      <c r="I46" s="229"/>
      <c r="J46" s="286" t="str">
        <f t="shared" si="6"/>
        <v/>
      </c>
      <c r="K46" s="200">
        <v>45</v>
      </c>
      <c r="L46" s="133">
        <f t="shared" si="7"/>
        <v>0</v>
      </c>
      <c r="M46" s="135" t="s">
        <v>5</v>
      </c>
    </row>
    <row r="47" spans="1:13" ht="12" customHeight="1" thickTop="1" thickBot="1">
      <c r="A47" s="391" t="s">
        <v>283</v>
      </c>
      <c r="B47" s="1244" t="str">
        <f>IF($A$48=0,"^ Zeile einfügen","bis hierher ziehen!")</f>
        <v>^ Zeile einfügen</v>
      </c>
      <c r="C47" s="1244"/>
      <c r="D47" s="392" t="s">
        <v>5</v>
      </c>
      <c r="E47" s="393" t="s">
        <v>5</v>
      </c>
      <c r="F47" s="394" t="s">
        <v>5</v>
      </c>
      <c r="G47" s="394"/>
      <c r="H47" s="395"/>
      <c r="I47" s="396"/>
      <c r="J47" s="425"/>
      <c r="K47" s="201">
        <v>0</v>
      </c>
      <c r="L47" s="185" t="s">
        <v>5</v>
      </c>
      <c r="M47" s="398" t="s">
        <v>283</v>
      </c>
    </row>
    <row r="48" spans="1:13" ht="12" customHeight="1" thickTop="1" thickBot="1">
      <c r="A48" s="390">
        <f>COUNTBLANK(A3:A47)+A49</f>
        <v>0</v>
      </c>
      <c r="B48" s="193" t="str">
        <f>+EÜR!C18</f>
        <v>ü</v>
      </c>
      <c r="C48" s="194" t="s">
        <v>5</v>
      </c>
      <c r="D48" s="194" t="s">
        <v>5</v>
      </c>
      <c r="E48" s="195" t="s">
        <v>5</v>
      </c>
      <c r="F48" s="196" t="s">
        <v>5</v>
      </c>
      <c r="G48" s="197">
        <f>SUBTOTAL(9,G3:G47)</f>
        <v>0</v>
      </c>
      <c r="H48" s="1242"/>
      <c r="I48" s="1243"/>
      <c r="J48" s="1253">
        <f>G48-H48</f>
        <v>0</v>
      </c>
      <c r="K48" s="1254"/>
      <c r="L48" s="1255"/>
      <c r="M48" s="135" t="s">
        <v>5</v>
      </c>
    </row>
    <row r="49" spans="1:14" ht="12" customHeight="1" thickTop="1" thickBot="1">
      <c r="A49" s="390">
        <f>IF(ISERROR(J47),1,0)</f>
        <v>0</v>
      </c>
      <c r="B49" s="192">
        <f>J48-G49-E49-C49</f>
        <v>0</v>
      </c>
      <c r="C49" s="1239">
        <f>SUMIF(F4:F47,"Kreditkarte",G4:G47)</f>
        <v>0</v>
      </c>
      <c r="D49" s="1239"/>
      <c r="E49" s="1240">
        <f>SUMIF(F4:F47,"Konto",G4:G47)</f>
        <v>0</v>
      </c>
      <c r="F49" s="1240"/>
      <c r="G49" s="1241">
        <f>SUMIF(F4:F47,"Geldbeutel",G4:G47)</f>
        <v>0</v>
      </c>
      <c r="H49" s="1241"/>
      <c r="I49" s="1241"/>
      <c r="J49" s="1256"/>
      <c r="K49" s="1257"/>
      <c r="L49" s="1258"/>
      <c r="M49" s="135" t="s">
        <v>5</v>
      </c>
    </row>
    <row r="50" spans="1:14" s="15" customFormat="1" ht="5.25" customHeight="1" thickTop="1">
      <c r="A50" s="36"/>
      <c r="B50" s="2"/>
      <c r="C50" s="3"/>
      <c r="D50" s="3"/>
      <c r="E50" s="1"/>
      <c r="G50" s="16"/>
      <c r="H50" s="16"/>
      <c r="I50" s="17"/>
      <c r="J50" s="18"/>
      <c r="K50" s="18"/>
      <c r="L50" s="31"/>
      <c r="N50" s="148"/>
    </row>
    <row r="51" spans="1:14">
      <c r="A51" s="36"/>
    </row>
  </sheetData>
  <sheetProtection formatCells="0" insertRows="0" deleteRows="0" selectLockedCells="1" sort="0" autoFilter="0"/>
  <mergeCells count="14">
    <mergeCell ref="AA9:AB9"/>
    <mergeCell ref="O10:Z10"/>
    <mergeCell ref="O11:Z11"/>
    <mergeCell ref="C2:I2"/>
    <mergeCell ref="J2:L2"/>
    <mergeCell ref="AA4:AB4"/>
    <mergeCell ref="H16:I16"/>
    <mergeCell ref="B47:C47"/>
    <mergeCell ref="J48:L49"/>
    <mergeCell ref="C49:D49"/>
    <mergeCell ref="E49:F49"/>
    <mergeCell ref="G49:I49"/>
    <mergeCell ref="H48:I48"/>
    <mergeCell ref="C16:F16"/>
  </mergeCells>
  <conditionalFormatting sqref="A4:A46">
    <cfRule type="expression" dxfId="1486" priority="23">
      <formula>ISERROR(J4)</formula>
    </cfRule>
    <cfRule type="cellIs" dxfId="1485" priority="24" operator="equal">
      <formula>""</formula>
    </cfRule>
  </conditionalFormatting>
  <conditionalFormatting sqref="A47:C47">
    <cfRule type="expression" dxfId="1484" priority="8">
      <formula>$A$48&lt;&gt;0</formula>
    </cfRule>
  </conditionalFormatting>
  <conditionalFormatting sqref="B2">
    <cfRule type="expression" dxfId="1483" priority="36" stopIfTrue="1">
      <formula>$B$48="x"</formula>
    </cfRule>
  </conditionalFormatting>
  <conditionalFormatting sqref="B48">
    <cfRule type="cellIs" dxfId="1482" priority="37" operator="equal">
      <formula>"y"</formula>
    </cfRule>
  </conditionalFormatting>
  <conditionalFormatting sqref="C49:I49">
    <cfRule type="cellIs" dxfId="1480" priority="66" stopIfTrue="1" operator="greaterThanOrEqual">
      <formula>0</formula>
    </cfRule>
    <cfRule type="cellIs" dxfId="1479" priority="68" stopIfTrue="1" operator="lessThan">
      <formula>0</formula>
    </cfRule>
  </conditionalFormatting>
  <conditionalFormatting sqref="D47:J47">
    <cfRule type="expression" dxfId="1478" priority="10">
      <formula>$A$48&lt;&gt;0</formula>
    </cfRule>
  </conditionalFormatting>
  <conditionalFormatting sqref="F4:F15">
    <cfRule type="expression" dxfId="1477" priority="1">
      <formula>$B$1="x"</formula>
    </cfRule>
  </conditionalFormatting>
  <conditionalFormatting sqref="F3:G3">
    <cfRule type="expression" dxfId="1475" priority="3">
      <formula>$B$48="x"</formula>
    </cfRule>
    <cfRule type="expression" dxfId="1474" priority="4">
      <formula>$B$48="x"</formula>
    </cfRule>
  </conditionalFormatting>
  <conditionalFormatting sqref="J17">
    <cfRule type="cellIs" dxfId="1472" priority="17655" operator="equal">
      <formula>0</formula>
    </cfRule>
  </conditionalFormatting>
  <conditionalFormatting sqref="J48:L48 C49:L49 C48:H48">
    <cfRule type="expression" dxfId="1471" priority="65">
      <formula>$B$48="x"</formula>
    </cfRule>
  </conditionalFormatting>
  <conditionalFormatting sqref="J48:L49">
    <cfRule type="expression" dxfId="1470" priority="64">
      <formula>AND($B$48="x",$J$48&lt;&gt;0)</formula>
    </cfRule>
  </conditionalFormatting>
  <conditionalFormatting sqref="M3">
    <cfRule type="cellIs" dxfId="1469" priority="32" operator="equal">
      <formula>""</formula>
    </cfRule>
  </conditionalFormatting>
  <conditionalFormatting sqref="M4:M46">
    <cfRule type="expression" dxfId="1468" priority="30">
      <formula>ISERROR(J4)</formula>
    </cfRule>
    <cfRule type="cellIs" dxfId="1467" priority="31" operator="equal">
      <formula>""</formula>
    </cfRule>
  </conditionalFormatting>
  <conditionalFormatting sqref="M47">
    <cfRule type="expression" dxfId="1466" priority="9">
      <formula>$A$48&lt;&gt;0</formula>
    </cfRule>
  </conditionalFormatting>
  <conditionalFormatting sqref="M47:M49">
    <cfRule type="cellIs" dxfId="1465" priority="12" operator="equal">
      <formula>""</formula>
    </cfRule>
  </conditionalFormatting>
  <conditionalFormatting sqref="O11:Z11">
    <cfRule type="cellIs" dxfId="1464" priority="50" operator="equal">
      <formula>"Fehler!"</formula>
    </cfRule>
  </conditionalFormatting>
  <conditionalFormatting sqref="O4:AA4 O10:AB49">
    <cfRule type="expression" dxfId="1463" priority="35">
      <formula>$N$2=0</formula>
    </cfRule>
  </conditionalFormatting>
  <conditionalFormatting sqref="O2:AB3">
    <cfRule type="expression" dxfId="1461" priority="5">
      <formula>$N$2=0</formula>
    </cfRule>
  </conditionalFormatting>
  <conditionalFormatting sqref="O5:AB8 O9:AA9 N10">
    <cfRule type="expression" dxfId="1460" priority="49">
      <formula>$N$2=0</formula>
    </cfRule>
  </conditionalFormatting>
  <dataValidations count="1">
    <dataValidation type="list" allowBlank="1" showInputMessage="1" showErrorMessage="1" sqref="F17 F4:F15" xr:uid="{E8C6F16A-4D61-4EF5-BE1B-A6E44B77E5B1}">
      <formula1>"Konto,Geldbeutel,Kreditkarte,x"</formula1>
    </dataValidation>
  </dataValidations>
  <hyperlinks>
    <hyperlink ref="J2" location="'2022 EÜR'!A1" display="Menü" xr:uid="{B04023AB-EC5B-4377-8F7B-E3674E7098C4}"/>
    <hyperlink ref="J2:L2" location="EÜR!A1" display="EÜR" xr:uid="{8FDA2DB6-6FC8-422C-BCA8-FAFA01E3BB72}"/>
  </hyperlinks>
  <printOptions horizontalCentered="1"/>
  <pageMargins left="0" right="0" top="0" bottom="0.31496062992125984" header="0" footer="0"/>
  <pageSetup paperSize="9" orientation="portrait" r:id="rId1"/>
  <headerFooter>
    <oddFooter>&amp;L&amp;"Arial,Standard"&amp;8Datei: &amp;Z&amp;F/&amp;A&amp;C&amp;"Arial,Standard"&amp;8Seite &amp;P von &amp;N&amp;R&amp;"Arial,Standard"&amp;8Druck: &amp;D&amp;T Uhr</oddFooter>
  </headerFooter>
  <extLst>
    <ext xmlns:x14="http://schemas.microsoft.com/office/spreadsheetml/2009/9/main" uri="{78C0D931-6437-407d-A8EE-F0AAD7539E65}">
      <x14:conditionalFormattings>
        <x14:conditionalFormatting xmlns:xm="http://schemas.microsoft.com/office/excel/2006/main">
          <x14:cfRule type="expression" priority="6" id="{22FF5520-B783-4611-B012-1C4FAF21EE08}">
            <xm:f>OR($B$48="x",EÜR!$J$66="-")</xm:f>
            <x14:dxf>
              <font>
                <b/>
                <i val="0"/>
                <color theme="0" tint="-0.24994659260841701"/>
              </font>
              <fill>
                <patternFill>
                  <bgColor theme="0" tint="-0.499984740745262"/>
                </patternFill>
              </fill>
            </x14:dxf>
          </x14:cfRule>
          <xm:sqref>B3:J46</xm:sqref>
        </x14:conditionalFormatting>
        <x14:conditionalFormatting xmlns:xm="http://schemas.microsoft.com/office/excel/2006/main">
          <x14:cfRule type="expression" priority="2" id="{A7806174-F001-46EA-9898-F94EDF3F2888}">
            <xm:f>OR($B$48="x",EÜR!$J$66="-")</xm:f>
            <x14:dxf>
              <font>
                <b/>
                <i val="0"/>
                <color theme="0" tint="-0.24994659260841701"/>
              </font>
              <fill>
                <patternFill>
                  <bgColor theme="0" tint="-0.499984740745262"/>
                </patternFill>
              </fill>
            </x14:dxf>
          </x14:cfRule>
          <xm:sqref>F3:G3 G4:G15</xm:sqref>
        </x14:conditionalFormatting>
        <x14:conditionalFormatting xmlns:xm="http://schemas.microsoft.com/office/excel/2006/main">
          <x14:cfRule type="expression" priority="47" id="{322132D0-8EE0-4DE9-895E-65662EC67F73}">
            <xm:f>AND(EÜR!$J$66&lt;&gt;"ü",$H$48&lt;&gt;0)</xm:f>
            <x14:dxf>
              <font>
                <b/>
                <i val="0"/>
                <color rgb="FFFFFF00"/>
              </font>
              <fill>
                <patternFill>
                  <bgColor rgb="FFFF0000"/>
                </patternFill>
              </fill>
            </x14:dxf>
          </x14:cfRule>
          <xm:sqref>H48:I48</xm:sqref>
        </x14:conditionalFormatting>
        <x14:conditionalFormatting xmlns:xm="http://schemas.microsoft.com/office/excel/2006/main">
          <x14:cfRule type="expression" priority="45" id="{768E9FBA-4998-41A9-81A7-A92144C2B082}">
            <xm:f>EÜR!$J$66="-"</xm:f>
            <x14:dxf>
              <font>
                <b/>
                <i val="0"/>
                <color theme="0"/>
              </font>
              <fill>
                <patternFill>
                  <bgColor theme="0"/>
                </patternFill>
              </fill>
              <border>
                <left/>
                <right/>
                <top/>
                <bottom/>
              </border>
            </x14:dxf>
          </x14:cfRule>
          <xm:sqref>O12:AA14</xm:sqref>
        </x14:conditionalFormatting>
      </x14:conditionalFormatting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3D5EF3-4D2D-4D61-A5AB-6EC9BF5EC5C8}">
  <sheetPr codeName="Tabelle12">
    <tabColor theme="0" tint="-0.34998626667073579"/>
    <pageSetUpPr autoPageBreaks="0"/>
  </sheetPr>
  <dimension ref="A1:AB51"/>
  <sheetViews>
    <sheetView showGridLines="0" showRowColHeaders="0" zoomScaleNormal="100" workbookViewId="0">
      <pane ySplit="3" topLeftCell="A4" activePane="bottomLeft" state="frozen"/>
      <selection activeCell="O2" sqref="O2:Z3"/>
      <selection pane="bottomLeft" activeCell="A4" sqref="A4"/>
    </sheetView>
  </sheetViews>
  <sheetFormatPr baseColWidth="10" defaultColWidth="9.77734375" defaultRowHeight="12.75"/>
  <cols>
    <col min="1" max="1" width="0.77734375" style="12" customWidth="1"/>
    <col min="2" max="2" width="7.6640625" style="30" customWidth="1"/>
    <col min="3" max="3" width="21.6640625" style="24" customWidth="1"/>
    <col min="4" max="4" width="7.6640625" style="24" customWidth="1"/>
    <col min="5" max="5" width="6.6640625" style="25" customWidth="1"/>
    <col min="6" max="6" width="9.6640625" style="26" customWidth="1"/>
    <col min="7" max="7" width="9.6640625" style="27" customWidth="1"/>
    <col min="8" max="8" width="2.6640625" style="28" customWidth="1"/>
    <col min="9" max="9" width="6.6640625" style="29" customWidth="1"/>
    <col min="10" max="10" width="9.6640625" style="27" customWidth="1"/>
    <col min="11" max="11" width="2.5546875" style="27" hidden="1" customWidth="1"/>
    <col min="12" max="12" width="1.5546875" style="32" hidden="1" customWidth="1"/>
    <col min="13" max="13" width="0.77734375" style="13" customWidth="1"/>
    <col min="14" max="14" width="1.77734375" style="147" customWidth="1"/>
    <col min="15" max="26" width="8.77734375" style="13" customWidth="1"/>
    <col min="27" max="27" width="10.33203125" style="13" customWidth="1"/>
    <col min="28" max="28" width="8.33203125" style="13" customWidth="1"/>
    <col min="29" max="16384" width="9.77734375" style="13"/>
  </cols>
  <sheetData>
    <row r="1" spans="1:28" s="37" customFormat="1" ht="3" customHeight="1" thickBot="1">
      <c r="A1" s="36"/>
      <c r="B1" s="53" t="str">
        <f>+B48</f>
        <v>ü</v>
      </c>
      <c r="C1" s="54">
        <f>+C49</f>
        <v>0</v>
      </c>
      <c r="D1" s="54"/>
      <c r="E1" s="53">
        <f>+E49</f>
        <v>0</v>
      </c>
      <c r="F1" s="53"/>
      <c r="G1" s="54">
        <f>+G49</f>
        <v>0</v>
      </c>
      <c r="H1" s="53"/>
      <c r="I1" s="338" t="str">
        <f>+EÜR!J66</f>
        <v>-</v>
      </c>
      <c r="J1" s="54">
        <v>0</v>
      </c>
      <c r="K1" s="198"/>
      <c r="L1" s="56"/>
      <c r="N1" s="190"/>
    </row>
    <row r="2" spans="1:28" ht="23.1" customHeight="1" thickTop="1" thickBot="1">
      <c r="A2" s="36"/>
      <c r="B2" s="224" t="str">
        <f>+EÜR!D19</f>
        <v>O10</v>
      </c>
      <c r="C2" s="1281" t="str">
        <f>+EÜR!F19</f>
        <v>AfA auf immaterielle Wirtschaftsgüter</v>
      </c>
      <c r="D2" s="1282"/>
      <c r="E2" s="1282"/>
      <c r="F2" s="1282"/>
      <c r="G2" s="1282"/>
      <c r="H2" s="1282"/>
      <c r="I2" s="1283"/>
      <c r="J2" s="1227" t="s">
        <v>8</v>
      </c>
      <c r="K2" s="1228"/>
      <c r="L2" s="1229"/>
      <c r="M2" s="134"/>
      <c r="N2" s="190">
        <v>0</v>
      </c>
      <c r="O2" s="188">
        <f>+EOMONTH(EÜR!$I$3,-1)+1</f>
        <v>46023</v>
      </c>
      <c r="P2" s="188">
        <f t="shared" ref="P2:Z2" si="0">+O3+1</f>
        <v>46054</v>
      </c>
      <c r="Q2" s="188">
        <f t="shared" si="0"/>
        <v>46082</v>
      </c>
      <c r="R2" s="188">
        <f t="shared" si="0"/>
        <v>46113</v>
      </c>
      <c r="S2" s="188">
        <f t="shared" si="0"/>
        <v>46143</v>
      </c>
      <c r="T2" s="188">
        <f t="shared" si="0"/>
        <v>46174</v>
      </c>
      <c r="U2" s="188">
        <f t="shared" si="0"/>
        <v>46204</v>
      </c>
      <c r="V2" s="188">
        <f t="shared" si="0"/>
        <v>46235</v>
      </c>
      <c r="W2" s="188">
        <f t="shared" si="0"/>
        <v>46266</v>
      </c>
      <c r="X2" s="188">
        <f t="shared" si="0"/>
        <v>46296</v>
      </c>
      <c r="Y2" s="188">
        <f t="shared" si="0"/>
        <v>46327</v>
      </c>
      <c r="Z2" s="188">
        <f t="shared" si="0"/>
        <v>46357</v>
      </c>
      <c r="AA2" s="48"/>
    </row>
    <row r="3" spans="1:28" ht="14.25" customHeight="1" thickTop="1">
      <c r="A3" s="36" t="s">
        <v>5</v>
      </c>
      <c r="B3" s="58" t="s">
        <v>1</v>
      </c>
      <c r="C3" s="59" t="s">
        <v>6</v>
      </c>
      <c r="D3" s="60"/>
      <c r="E3" s="310" t="s">
        <v>7</v>
      </c>
      <c r="F3" s="61" t="s">
        <v>4</v>
      </c>
      <c r="G3" s="62" t="s">
        <v>31</v>
      </c>
      <c r="H3" s="63" t="s">
        <v>33</v>
      </c>
      <c r="I3" s="64" t="s">
        <v>32</v>
      </c>
      <c r="J3" s="274" t="s">
        <v>181</v>
      </c>
      <c r="K3" s="199">
        <v>0</v>
      </c>
      <c r="L3" s="65" t="s">
        <v>5</v>
      </c>
      <c r="M3" s="135" t="s">
        <v>5</v>
      </c>
      <c r="N3" s="222">
        <f>IF(SUBTOTAL(109,K3:K47)&lt;&gt;SUM(K3:K47),1,0)</f>
        <v>0</v>
      </c>
      <c r="O3" s="189">
        <f>EOMONTH(O2,0)</f>
        <v>46053</v>
      </c>
      <c r="P3" s="189">
        <f t="shared" ref="P3:Z3" si="1">EOMONTH(P2,0)</f>
        <v>46081</v>
      </c>
      <c r="Q3" s="189">
        <f t="shared" si="1"/>
        <v>46112</v>
      </c>
      <c r="R3" s="189">
        <f t="shared" si="1"/>
        <v>46142</v>
      </c>
      <c r="S3" s="189">
        <f t="shared" si="1"/>
        <v>46173</v>
      </c>
      <c r="T3" s="189">
        <f t="shared" si="1"/>
        <v>46203</v>
      </c>
      <c r="U3" s="189">
        <f t="shared" si="1"/>
        <v>46234</v>
      </c>
      <c r="V3" s="189">
        <f t="shared" si="1"/>
        <v>46265</v>
      </c>
      <c r="W3" s="189">
        <f t="shared" si="1"/>
        <v>46295</v>
      </c>
      <c r="X3" s="189">
        <f t="shared" si="1"/>
        <v>46326</v>
      </c>
      <c r="Y3" s="189">
        <f t="shared" si="1"/>
        <v>46356</v>
      </c>
      <c r="Z3" s="189">
        <f t="shared" si="1"/>
        <v>46387</v>
      </c>
      <c r="AB3" s="14"/>
    </row>
    <row r="4" spans="1:28" ht="13.35" customHeight="1">
      <c r="A4" s="50" t="s">
        <v>5</v>
      </c>
      <c r="B4" s="242"/>
      <c r="C4" s="80" t="s">
        <v>270</v>
      </c>
      <c r="D4" s="243" t="s">
        <v>458</v>
      </c>
      <c r="E4" s="226" t="s">
        <v>169</v>
      </c>
      <c r="F4" s="385" t="s">
        <v>168</v>
      </c>
      <c r="G4" s="892"/>
      <c r="H4" s="228"/>
      <c r="I4" s="229"/>
      <c r="J4" s="261" t="str">
        <f t="shared" ref="J4:J44" si="2">IF(G4&lt;&gt;0,+G4-I4,"")</f>
        <v/>
      </c>
      <c r="K4" s="200">
        <v>1</v>
      </c>
      <c r="L4" s="133">
        <f>IF(B4&lt;$O$2,0,IF(B4&lt;$P$2,1,IF(B4&lt;$Q$2,2,IF(B4&lt;$R$2,3,IF(B4&lt;$S$2,4,IF(B4&lt;$T$2,5,IF(B4&lt;$U$2,6,IF(B4&lt;$V$2,7,IF(B4&lt;$W$2,8,IF(B4&lt;$X$2,9,IF(B4&lt;$Y$2,10,IF(B4&lt;$Z$2,11,IF(B4&lt;=$Z$3,12,0)))))))))))))</f>
        <v>0</v>
      </c>
      <c r="M4" s="135" t="s">
        <v>5</v>
      </c>
      <c r="N4" s="190">
        <v>0</v>
      </c>
      <c r="O4" s="251" t="s">
        <v>36</v>
      </c>
      <c r="P4" s="251" t="s">
        <v>37</v>
      </c>
      <c r="Q4" s="251" t="s">
        <v>38</v>
      </c>
      <c r="R4" s="251" t="s">
        <v>39</v>
      </c>
      <c r="S4" s="251" t="s">
        <v>40</v>
      </c>
      <c r="T4" s="251" t="s">
        <v>41</v>
      </c>
      <c r="U4" s="251" t="s">
        <v>42</v>
      </c>
      <c r="V4" s="251" t="s">
        <v>43</v>
      </c>
      <c r="W4" s="251" t="s">
        <v>44</v>
      </c>
      <c r="X4" s="251" t="s">
        <v>45</v>
      </c>
      <c r="Y4" s="251" t="s">
        <v>46</v>
      </c>
      <c r="Z4" s="251" t="s">
        <v>47</v>
      </c>
      <c r="AA4" s="1209" t="s">
        <v>255</v>
      </c>
      <c r="AB4" s="1210"/>
    </row>
    <row r="5" spans="1:28" ht="13.35" customHeight="1">
      <c r="A5" s="50" t="s">
        <v>5</v>
      </c>
      <c r="B5" s="242"/>
      <c r="C5" s="80"/>
      <c r="D5" s="243"/>
      <c r="E5" s="226"/>
      <c r="F5" s="89"/>
      <c r="G5" s="81"/>
      <c r="H5" s="228"/>
      <c r="I5" s="229"/>
      <c r="J5" s="261" t="str">
        <f t="shared" si="2"/>
        <v/>
      </c>
      <c r="K5" s="200">
        <v>2</v>
      </c>
      <c r="L5" s="133">
        <f t="shared" ref="L5:L44" si="3">IF(B5&lt;$O$2,0,IF(B5&lt;$P$2,1,IF(B5&lt;$Q$2,2,IF(B5&lt;$R$2,3,IF(B5&lt;$S$2,4,IF(B5&lt;$T$2,5,IF(B5&lt;$U$2,6,IF(B5&lt;$V$2,7,IF(B5&lt;$W$2,8,IF(B5&lt;$X$2,9,IF(B5&lt;$Y$2,10,IF(B5&lt;$Z$2,11,IF(B5&lt;=$Z$3,12,0)))))))))))))</f>
        <v>0</v>
      </c>
      <c r="M5" s="135" t="s">
        <v>5</v>
      </c>
      <c r="O5" s="252">
        <f>SUMIFS($G$3:$G$47,$L$3:$L$47,1,$F$3:$F$47,"Konto")</f>
        <v>0</v>
      </c>
      <c r="P5" s="252">
        <f>SUMIFS($G$3:$G$47,$L$3:$L$47,2,$F$3:$F$47,"Konto")</f>
        <v>0</v>
      </c>
      <c r="Q5" s="252">
        <f>SUMIFS($G$3:$G$47,$L$3:$L$47,3,$F$3:$F$47,"Konto")</f>
        <v>0</v>
      </c>
      <c r="R5" s="252">
        <f>SUMIFS($G$3:$G$47,$L$3:$L$47,4,$F$3:$F$47,"Konto")</f>
        <v>0</v>
      </c>
      <c r="S5" s="252">
        <f>SUMIFS($G$3:$G$47,$L$3:$L$47,5,$F$3:$F$47,"Konto")</f>
        <v>0</v>
      </c>
      <c r="T5" s="252">
        <f>SUMIFS($G$3:$G$47,$L$3:$L$47,6,$F$3:$F$47,"Konto")</f>
        <v>0</v>
      </c>
      <c r="U5" s="252">
        <f>SUMIFS($G$3:$G$47,$L$3:$L$47,7,$F$3:$F$47,"Konto")</f>
        <v>0</v>
      </c>
      <c r="V5" s="252">
        <f>SUMIFS($G$3:$G$47,$L$3:$L$47,8,$F$3:$F$47,"Konto")</f>
        <v>0</v>
      </c>
      <c r="W5" s="252">
        <f>SUMIFS($G$3:$G$47,$L$3:$L$47,9,$F$3:$F$47,"Konto")</f>
        <v>0</v>
      </c>
      <c r="X5" s="252">
        <f>SUMIFS($G$3:$G$47,$L$3:$L$47,10,$F$3:$F$47,"Konto")</f>
        <v>0</v>
      </c>
      <c r="Y5" s="252">
        <f>SUMIFS($G$3:$G$47,$L$3:$L$47,11,$F$3:$F$47,"Konto")</f>
        <v>0</v>
      </c>
      <c r="Z5" s="252">
        <f>SUMIFS($G$3:$G$47,$L$3:$L$47,12,$F$3:$F$47,"Konto")</f>
        <v>0</v>
      </c>
      <c r="AA5" s="253">
        <f>SUM(O5:Z5)</f>
        <v>0</v>
      </c>
      <c r="AB5" s="254" t="s">
        <v>140</v>
      </c>
    </row>
    <row r="6" spans="1:28" ht="13.35" customHeight="1">
      <c r="A6" s="50" t="s">
        <v>5</v>
      </c>
      <c r="B6" s="242"/>
      <c r="C6" s="80"/>
      <c r="D6" s="243"/>
      <c r="E6" s="226"/>
      <c r="F6" s="89"/>
      <c r="G6" s="81"/>
      <c r="H6" s="228"/>
      <c r="I6" s="229"/>
      <c r="J6" s="261" t="str">
        <f t="shared" si="2"/>
        <v/>
      </c>
      <c r="K6" s="200">
        <v>3</v>
      </c>
      <c r="L6" s="133">
        <f t="shared" si="3"/>
        <v>0</v>
      </c>
      <c r="M6" s="135" t="s">
        <v>5</v>
      </c>
      <c r="N6" s="190"/>
      <c r="O6" s="252">
        <f>SUMIFS($G$3:$G$47,$L$3:$L$47,1,$F$3:$F$47,"Kreditkarte")</f>
        <v>0</v>
      </c>
      <c r="P6" s="252">
        <f>SUMIFS($G$3:$G$47,$L$3:$L$47,2,$F$3:$F$47,"Kreditkarte")</f>
        <v>0</v>
      </c>
      <c r="Q6" s="252">
        <f>SUMIFS($G$3:$G$47,$L$3:$L$47,3,$F$3:$F$47,"Kreditkarte")</f>
        <v>0</v>
      </c>
      <c r="R6" s="252">
        <f>SUMIFS($G$3:$G$47,$L$3:$L$47,4,$F$3:$F$47,"Kreditkarte")</f>
        <v>0</v>
      </c>
      <c r="S6" s="252">
        <f>SUMIFS($G$3:$G$47,$L$3:$L$47,5,$F$3:$F$47,"Kreditkarte")</f>
        <v>0</v>
      </c>
      <c r="T6" s="252">
        <f>SUMIFS($G$3:$G$47,$L$3:$L$47,6,$F$3:$F$47,"Kreditkarte")</f>
        <v>0</v>
      </c>
      <c r="U6" s="252">
        <f>SUMIFS($G$3:$G$47,$L$3:$L$47,7,$F$3:$F$47,"Kreditkarte")</f>
        <v>0</v>
      </c>
      <c r="V6" s="252">
        <f>SUMIFS($G$3:$G$47,$L$3:$L$47,8,$F$3:$F$47,"Kreditkarte")</f>
        <v>0</v>
      </c>
      <c r="W6" s="252">
        <f>SUMIFS($G$3:$G$47,$L$3:$L$47,9,$F$3:$F$47,"Kreditkarte")</f>
        <v>0</v>
      </c>
      <c r="X6" s="252">
        <f>SUMIFS($G$3:$G$47,$L$3:$L$47,10,$F$3:$F$47,"Kreditkarte")</f>
        <v>0</v>
      </c>
      <c r="Y6" s="252">
        <f>SUMIFS($G$3:$G$47,$L$3:$L$47,11,$F$3:$F$47,"Kreditkarte")</f>
        <v>0</v>
      </c>
      <c r="Z6" s="252">
        <f>SUMIFS($G$3:$G$47,$L$3:$L$47,12,$F$3:$F$47,"Kreditkarte")</f>
        <v>0</v>
      </c>
      <c r="AA6" s="255">
        <f t="shared" ref="AA6:AA8" si="4">SUM(O6:Z6)</f>
        <v>0</v>
      </c>
      <c r="AB6" s="256" t="s">
        <v>142</v>
      </c>
    </row>
    <row r="7" spans="1:28" ht="13.35" customHeight="1">
      <c r="A7" s="50" t="s">
        <v>5</v>
      </c>
      <c r="B7" s="242"/>
      <c r="C7" s="80"/>
      <c r="D7" s="243"/>
      <c r="E7" s="226"/>
      <c r="F7" s="89"/>
      <c r="G7" s="81"/>
      <c r="H7" s="228"/>
      <c r="I7" s="229"/>
      <c r="J7" s="261" t="str">
        <f t="shared" si="2"/>
        <v/>
      </c>
      <c r="K7" s="200">
        <v>4</v>
      </c>
      <c r="L7" s="133">
        <f t="shared" si="3"/>
        <v>0</v>
      </c>
      <c r="M7" s="135" t="s">
        <v>5</v>
      </c>
      <c r="O7" s="252">
        <f>SUMIFS($G$3:$G$47,$L$3:$L$47,1,$F$3:$F$47,"Geldbeutel")</f>
        <v>0</v>
      </c>
      <c r="P7" s="252">
        <f>SUMIFS($G$3:$G$47,$L$3:$L$47,2,$F$3:$F$47,"Geldbeutel")</f>
        <v>0</v>
      </c>
      <c r="Q7" s="252">
        <f>SUMIFS($G$3:$G$47,$L$3:$L$47,3,$F$3:$F$47,"Geldbeutel")</f>
        <v>0</v>
      </c>
      <c r="R7" s="252">
        <f>SUMIFS($G$3:$G$47,$L$3:$L$47,4,$F$3:$F$47,"Geldbeutel")</f>
        <v>0</v>
      </c>
      <c r="S7" s="252">
        <f>SUMIFS($G$3:$G$47,$L$3:$L$47,5,$F$3:$F$47,"Geldbeutel")</f>
        <v>0</v>
      </c>
      <c r="T7" s="252">
        <f>SUMIFS($G$3:$G$47,$L$3:$L$47,6,$F$3:$F$47,"Geldbeutel")</f>
        <v>0</v>
      </c>
      <c r="U7" s="252">
        <f>SUMIFS($G$3:$G$47,$L$3:$L$47,7,$F$3:$F$47,"Geldbeutel")</f>
        <v>0</v>
      </c>
      <c r="V7" s="252">
        <f>SUMIFS($G$3:$G$47,$L$3:$L$47,8,$F$3:$F$47,"Geldbeutel")</f>
        <v>0</v>
      </c>
      <c r="W7" s="252">
        <f>SUMIFS($G$3:$G$47,$L$3:$L$47,9,$F$3:$F$47,"Geldbeutel")</f>
        <v>0</v>
      </c>
      <c r="X7" s="252">
        <f>SUMIFS($G$3:$G$47,$L$3:$L$47,10,$F$3:$F$47,"Geldbeutel")</f>
        <v>0</v>
      </c>
      <c r="Y7" s="252">
        <f>SUMIFS($G$3:$G$47,$L$3:$L$47,11,$F$3:$F$47,"Geldbeutel")</f>
        <v>0</v>
      </c>
      <c r="Z7" s="252">
        <f>SUMIFS($G$3:$G$47,$L$3:$L$47,12,$F$3:$F$47,"Geldbeutel")</f>
        <v>0</v>
      </c>
      <c r="AA7" s="253">
        <f t="shared" si="4"/>
        <v>0</v>
      </c>
      <c r="AB7" s="254" t="s">
        <v>139</v>
      </c>
    </row>
    <row r="8" spans="1:28" ht="13.35" customHeight="1">
      <c r="A8" s="50" t="s">
        <v>5</v>
      </c>
      <c r="B8" s="242"/>
      <c r="C8" s="80"/>
      <c r="D8" s="243"/>
      <c r="E8" s="226"/>
      <c r="F8" s="89"/>
      <c r="G8" s="81"/>
      <c r="H8" s="228"/>
      <c r="I8" s="229"/>
      <c r="J8" s="261" t="str">
        <f t="shared" si="2"/>
        <v/>
      </c>
      <c r="K8" s="200">
        <v>5</v>
      </c>
      <c r="L8" s="133">
        <f t="shared" si="3"/>
        <v>0</v>
      </c>
      <c r="M8" s="135" t="s">
        <v>5</v>
      </c>
      <c r="O8" s="252">
        <f>SUMIFS($G$3:$G$47,$L$3:$L$47,1,$F$3:$F$47,"X")</f>
        <v>0</v>
      </c>
      <c r="P8" s="252">
        <f>SUMIFS($G$3:$G$47,$L$3:$L$47,2,$F$3:$F$47,"X")</f>
        <v>0</v>
      </c>
      <c r="Q8" s="252">
        <f>SUMIFS($G$3:$G$47,$L$3:$L$47,3,$F$3:$F$47,"X")</f>
        <v>0</v>
      </c>
      <c r="R8" s="252">
        <f>SUMIFS($G$3:$G$47,$L$3:$L$47,4,$F$3:$F$47,"X")</f>
        <v>0</v>
      </c>
      <c r="S8" s="252">
        <f>SUMIFS($G$3:$G$47,$L$3:$L$47,5,$F$3:$F$47,"X")</f>
        <v>0</v>
      </c>
      <c r="T8" s="252">
        <f>SUMIFS($G$3:$G$47,$L$3:$L$47,6,$F$3:$F$47,"X")</f>
        <v>0</v>
      </c>
      <c r="U8" s="252">
        <f>SUMIFS($G$3:$G$47,$L$3:$L$47,7,$F$3:$F$47,"X")</f>
        <v>0</v>
      </c>
      <c r="V8" s="252">
        <f>SUMIFS($G$3:$G$47,$L$3:$L$47,8,$F$3:$F$47,"X")</f>
        <v>0</v>
      </c>
      <c r="W8" s="252">
        <f>SUMIFS($G$3:$G$47,$L$3:$L$47,9,$F$3:$F$47,"X")</f>
        <v>0</v>
      </c>
      <c r="X8" s="252">
        <f>SUMIFS($G$3:$G$47,$L$3:$L$47,10,$F$3:$F$47,"X")</f>
        <v>0</v>
      </c>
      <c r="Y8" s="252">
        <f>SUMIFS($G$3:$G$47,$L$3:$L$47,11,$F$3:$F$47,"X")</f>
        <v>0</v>
      </c>
      <c r="Z8" s="252">
        <f>SUMIFS($G$3:$G$47,$L$3:$L$47,12,$F$3:$F$47,"X")</f>
        <v>0</v>
      </c>
      <c r="AA8" s="255">
        <f t="shared" si="4"/>
        <v>0</v>
      </c>
      <c r="AB8" s="256" t="s">
        <v>192</v>
      </c>
    </row>
    <row r="9" spans="1:28" ht="13.35" customHeight="1">
      <c r="A9" s="50" t="s">
        <v>5</v>
      </c>
      <c r="B9" s="242"/>
      <c r="C9" s="80"/>
      <c r="D9" s="243"/>
      <c r="E9" s="226"/>
      <c r="F9" s="89"/>
      <c r="G9" s="81"/>
      <c r="H9" s="228"/>
      <c r="I9" s="229"/>
      <c r="J9" s="261" t="str">
        <f t="shared" si="2"/>
        <v/>
      </c>
      <c r="K9" s="200">
        <v>6</v>
      </c>
      <c r="L9" s="133">
        <f t="shared" si="3"/>
        <v>0</v>
      </c>
      <c r="M9" s="135" t="s">
        <v>5</v>
      </c>
      <c r="N9" s="191">
        <f>IF(OR(AND(AA14&lt;&gt;0,B48="x"),(O14+AA13)&lt;&gt;H48),1,0)</f>
        <v>0</v>
      </c>
      <c r="O9" s="257">
        <f>SUM(O5:O8)</f>
        <v>0</v>
      </c>
      <c r="P9" s="257">
        <f t="shared" ref="P9:Z9" si="5">SUM(P5:P8)</f>
        <v>0</v>
      </c>
      <c r="Q9" s="257">
        <f t="shared" si="5"/>
        <v>0</v>
      </c>
      <c r="R9" s="257">
        <f t="shared" si="5"/>
        <v>0</v>
      </c>
      <c r="S9" s="257">
        <f t="shared" si="5"/>
        <v>0</v>
      </c>
      <c r="T9" s="257">
        <f t="shared" si="5"/>
        <v>0</v>
      </c>
      <c r="U9" s="257">
        <f t="shared" si="5"/>
        <v>0</v>
      </c>
      <c r="V9" s="257">
        <f t="shared" si="5"/>
        <v>0</v>
      </c>
      <c r="W9" s="257">
        <f t="shared" si="5"/>
        <v>0</v>
      </c>
      <c r="X9" s="257">
        <f t="shared" si="5"/>
        <v>0</v>
      </c>
      <c r="Y9" s="257">
        <f t="shared" si="5"/>
        <v>0</v>
      </c>
      <c r="Z9" s="257">
        <f t="shared" si="5"/>
        <v>0</v>
      </c>
      <c r="AA9" s="1211" t="s">
        <v>197</v>
      </c>
      <c r="AB9" s="1212"/>
    </row>
    <row r="10" spans="1:28" ht="13.35" customHeight="1">
      <c r="A10" s="50" t="s">
        <v>5</v>
      </c>
      <c r="B10" s="242"/>
      <c r="C10" s="80"/>
      <c r="D10" s="243"/>
      <c r="E10" s="226"/>
      <c r="F10" s="89"/>
      <c r="G10" s="81"/>
      <c r="H10" s="228"/>
      <c r="I10" s="229"/>
      <c r="J10" s="261" t="str">
        <f t="shared" si="2"/>
        <v/>
      </c>
      <c r="K10" s="200">
        <v>7</v>
      </c>
      <c r="L10" s="133">
        <f t="shared" si="3"/>
        <v>0</v>
      </c>
      <c r="M10" s="135" t="s">
        <v>5</v>
      </c>
      <c r="N10" s="259">
        <f>IF(O10+AA10&lt;&gt;G48,1,0)</f>
        <v>0</v>
      </c>
      <c r="O10" s="1259">
        <f>SUM(O5:Z8)</f>
        <v>0</v>
      </c>
      <c r="P10" s="1260"/>
      <c r="Q10" s="1260"/>
      <c r="R10" s="1260"/>
      <c r="S10" s="1260"/>
      <c r="T10" s="1260"/>
      <c r="U10" s="1260"/>
      <c r="V10" s="1260"/>
      <c r="W10" s="1260"/>
      <c r="X10" s="1260"/>
      <c r="Y10" s="1260"/>
      <c r="Z10" s="1261"/>
      <c r="AA10" s="292"/>
      <c r="AB10" s="313" t="s">
        <v>257</v>
      </c>
    </row>
    <row r="11" spans="1:28" ht="13.35" customHeight="1">
      <c r="A11" s="50" t="s">
        <v>5</v>
      </c>
      <c r="B11" s="242"/>
      <c r="C11" s="80"/>
      <c r="D11" s="243"/>
      <c r="E11" s="226"/>
      <c r="F11" s="89"/>
      <c r="G11" s="81"/>
      <c r="H11" s="228"/>
      <c r="I11" s="229"/>
      <c r="J11" s="261" t="str">
        <f t="shared" si="2"/>
        <v/>
      </c>
      <c r="K11" s="200">
        <v>8</v>
      </c>
      <c r="L11" s="133">
        <f t="shared" si="3"/>
        <v>0</v>
      </c>
      <c r="M11" s="135" t="s">
        <v>5</v>
      </c>
      <c r="O11" s="1248" t="str">
        <f>IF(N4&gt;0,"Fehler!","")</f>
        <v/>
      </c>
      <c r="P11" s="1248"/>
      <c r="Q11" s="1248"/>
      <c r="R11" s="1248"/>
      <c r="S11" s="1248"/>
      <c r="T11" s="1248"/>
      <c r="U11" s="1248"/>
      <c r="V11" s="1248"/>
      <c r="W11" s="1248"/>
      <c r="X11" s="1248"/>
      <c r="Y11" s="1248"/>
      <c r="Z11" s="1248"/>
    </row>
    <row r="12" spans="1:28" ht="13.35" customHeight="1">
      <c r="A12" s="50" t="s">
        <v>5</v>
      </c>
      <c r="B12" s="242"/>
      <c r="C12" s="80"/>
      <c r="D12" s="243"/>
      <c r="E12" s="226"/>
      <c r="F12" s="89"/>
      <c r="G12" s="81"/>
      <c r="H12" s="228"/>
      <c r="I12" s="229"/>
      <c r="J12" s="261" t="str">
        <f t="shared" si="2"/>
        <v/>
      </c>
      <c r="K12" s="200">
        <v>9</v>
      </c>
      <c r="L12" s="133">
        <f t="shared" si="3"/>
        <v>0</v>
      </c>
      <c r="M12" s="135" t="s">
        <v>5</v>
      </c>
      <c r="AA12" s="38">
        <f>IF(O14+AA13&lt;&gt;H48,1,0)</f>
        <v>0</v>
      </c>
    </row>
    <row r="13" spans="1:28" ht="13.35" customHeight="1">
      <c r="A13" s="50" t="s">
        <v>5</v>
      </c>
      <c r="B13" s="242"/>
      <c r="C13" s="80"/>
      <c r="D13" s="243"/>
      <c r="E13" s="226"/>
      <c r="F13" s="89"/>
      <c r="G13" s="81"/>
      <c r="H13" s="228"/>
      <c r="I13" s="229"/>
      <c r="J13" s="261" t="str">
        <f t="shared" si="2"/>
        <v/>
      </c>
      <c r="K13" s="200">
        <v>10</v>
      </c>
      <c r="L13" s="133">
        <f t="shared" si="3"/>
        <v>0</v>
      </c>
      <c r="M13" s="135" t="s">
        <v>5</v>
      </c>
    </row>
    <row r="14" spans="1:28" ht="13.35" customHeight="1">
      <c r="A14" s="50" t="s">
        <v>5</v>
      </c>
      <c r="B14" s="242"/>
      <c r="C14" s="80"/>
      <c r="D14" s="243"/>
      <c r="E14" s="226"/>
      <c r="F14" s="89"/>
      <c r="G14" s="81"/>
      <c r="H14" s="228"/>
      <c r="I14" s="229"/>
      <c r="J14" s="261" t="str">
        <f t="shared" si="2"/>
        <v/>
      </c>
      <c r="K14" s="200">
        <v>11</v>
      </c>
      <c r="L14" s="133">
        <f t="shared" si="3"/>
        <v>0</v>
      </c>
      <c r="M14" s="135" t="s">
        <v>5</v>
      </c>
    </row>
    <row r="15" spans="1:28" ht="13.35" customHeight="1">
      <c r="A15" s="50" t="s">
        <v>5</v>
      </c>
      <c r="B15" s="242"/>
      <c r="C15" s="260"/>
      <c r="D15" s="243"/>
      <c r="E15" s="226"/>
      <c r="F15" s="89"/>
      <c r="G15" s="81"/>
      <c r="H15" s="228"/>
      <c r="I15" s="229"/>
      <c r="J15" s="261" t="str">
        <f t="shared" si="2"/>
        <v/>
      </c>
      <c r="K15" s="200">
        <v>12</v>
      </c>
      <c r="L15" s="133">
        <f t="shared" si="3"/>
        <v>0</v>
      </c>
      <c r="M15" s="135" t="s">
        <v>5</v>
      </c>
    </row>
    <row r="16" spans="1:28" ht="13.35" customHeight="1">
      <c r="A16" s="50" t="s">
        <v>5</v>
      </c>
      <c r="B16" s="242"/>
      <c r="C16" s="80"/>
      <c r="D16" s="243"/>
      <c r="E16" s="226"/>
      <c r="F16" s="89"/>
      <c r="G16" s="81"/>
      <c r="H16" s="228"/>
      <c r="I16" s="229"/>
      <c r="J16" s="261" t="str">
        <f t="shared" si="2"/>
        <v/>
      </c>
      <c r="K16" s="200">
        <v>13</v>
      </c>
      <c r="L16" s="133">
        <f t="shared" si="3"/>
        <v>0</v>
      </c>
      <c r="M16" s="135" t="s">
        <v>5</v>
      </c>
    </row>
    <row r="17" spans="1:13" ht="13.35" customHeight="1">
      <c r="A17" s="50" t="s">
        <v>5</v>
      </c>
      <c r="B17" s="242"/>
      <c r="C17" s="80"/>
      <c r="D17" s="243"/>
      <c r="E17" s="226"/>
      <c r="F17" s="89"/>
      <c r="G17" s="81"/>
      <c r="H17" s="228"/>
      <c r="I17" s="229"/>
      <c r="J17" s="261" t="str">
        <f t="shared" si="2"/>
        <v/>
      </c>
      <c r="K17" s="200">
        <v>14</v>
      </c>
      <c r="L17" s="133">
        <f t="shared" si="3"/>
        <v>0</v>
      </c>
      <c r="M17" s="135" t="s">
        <v>5</v>
      </c>
    </row>
    <row r="18" spans="1:13" ht="13.35" customHeight="1">
      <c r="A18" s="50" t="s">
        <v>5</v>
      </c>
      <c r="B18" s="242"/>
      <c r="C18" s="80"/>
      <c r="D18" s="243"/>
      <c r="E18" s="226"/>
      <c r="F18" s="89"/>
      <c r="G18" s="81"/>
      <c r="H18" s="228"/>
      <c r="I18" s="229"/>
      <c r="J18" s="261" t="str">
        <f t="shared" si="2"/>
        <v/>
      </c>
      <c r="K18" s="200">
        <v>15</v>
      </c>
      <c r="L18" s="133">
        <f t="shared" si="3"/>
        <v>0</v>
      </c>
      <c r="M18" s="135" t="s">
        <v>5</v>
      </c>
    </row>
    <row r="19" spans="1:13" ht="13.35" customHeight="1">
      <c r="A19" s="50" t="s">
        <v>5</v>
      </c>
      <c r="B19" s="242"/>
      <c r="C19" s="80"/>
      <c r="D19" s="243"/>
      <c r="E19" s="226"/>
      <c r="F19" s="89"/>
      <c r="G19" s="81"/>
      <c r="H19" s="228"/>
      <c r="I19" s="229"/>
      <c r="J19" s="261" t="str">
        <f t="shared" si="2"/>
        <v/>
      </c>
      <c r="K19" s="200">
        <v>16</v>
      </c>
      <c r="L19" s="133">
        <f t="shared" si="3"/>
        <v>0</v>
      </c>
      <c r="M19" s="135" t="s">
        <v>5</v>
      </c>
    </row>
    <row r="20" spans="1:13" ht="13.35" customHeight="1">
      <c r="A20" s="50" t="s">
        <v>5</v>
      </c>
      <c r="B20" s="242"/>
      <c r="C20" s="80"/>
      <c r="D20" s="243"/>
      <c r="E20" s="226"/>
      <c r="F20" s="89"/>
      <c r="G20" s="81"/>
      <c r="H20" s="228"/>
      <c r="I20" s="229"/>
      <c r="J20" s="261" t="str">
        <f t="shared" si="2"/>
        <v/>
      </c>
      <c r="K20" s="200">
        <v>17</v>
      </c>
      <c r="L20" s="133">
        <f t="shared" si="3"/>
        <v>0</v>
      </c>
      <c r="M20" s="135" t="s">
        <v>5</v>
      </c>
    </row>
    <row r="21" spans="1:13" ht="13.35" customHeight="1">
      <c r="A21" s="50" t="s">
        <v>5</v>
      </c>
      <c r="B21" s="242"/>
      <c r="C21" s="80"/>
      <c r="D21" s="243"/>
      <c r="E21" s="226"/>
      <c r="F21" s="89"/>
      <c r="G21" s="81"/>
      <c r="H21" s="228"/>
      <c r="I21" s="229"/>
      <c r="J21" s="261" t="str">
        <f t="shared" si="2"/>
        <v/>
      </c>
      <c r="K21" s="200">
        <v>18</v>
      </c>
      <c r="L21" s="133">
        <f t="shared" si="3"/>
        <v>0</v>
      </c>
      <c r="M21" s="135" t="s">
        <v>5</v>
      </c>
    </row>
    <row r="22" spans="1:13" ht="13.35" customHeight="1">
      <c r="A22" s="50" t="s">
        <v>5</v>
      </c>
      <c r="B22" s="242"/>
      <c r="C22" s="80"/>
      <c r="D22" s="243"/>
      <c r="E22" s="226"/>
      <c r="F22" s="89"/>
      <c r="G22" s="81"/>
      <c r="H22" s="228"/>
      <c r="I22" s="229"/>
      <c r="J22" s="261" t="str">
        <f t="shared" si="2"/>
        <v/>
      </c>
      <c r="K22" s="200">
        <v>19</v>
      </c>
      <c r="L22" s="133">
        <f t="shared" si="3"/>
        <v>0</v>
      </c>
      <c r="M22" s="135" t="s">
        <v>5</v>
      </c>
    </row>
    <row r="23" spans="1:13" ht="13.35" customHeight="1">
      <c r="A23" s="50" t="s">
        <v>5</v>
      </c>
      <c r="B23" s="242"/>
      <c r="C23" s="80"/>
      <c r="D23" s="243"/>
      <c r="E23" s="226"/>
      <c r="F23" s="89"/>
      <c r="G23" s="81"/>
      <c r="H23" s="228"/>
      <c r="I23" s="229"/>
      <c r="J23" s="261" t="str">
        <f t="shared" si="2"/>
        <v/>
      </c>
      <c r="K23" s="200">
        <v>20</v>
      </c>
      <c r="L23" s="133">
        <f t="shared" si="3"/>
        <v>0</v>
      </c>
      <c r="M23" s="135" t="s">
        <v>5</v>
      </c>
    </row>
    <row r="24" spans="1:13" ht="13.35" customHeight="1">
      <c r="A24" s="50" t="s">
        <v>5</v>
      </c>
      <c r="B24" s="242"/>
      <c r="C24" s="80"/>
      <c r="D24" s="243"/>
      <c r="E24" s="226"/>
      <c r="F24" s="89"/>
      <c r="G24" s="81"/>
      <c r="H24" s="228"/>
      <c r="I24" s="229"/>
      <c r="J24" s="261" t="str">
        <f t="shared" si="2"/>
        <v/>
      </c>
      <c r="K24" s="200">
        <v>21</v>
      </c>
      <c r="L24" s="133">
        <f t="shared" si="3"/>
        <v>0</v>
      </c>
      <c r="M24" s="135" t="s">
        <v>5</v>
      </c>
    </row>
    <row r="25" spans="1:13" ht="13.35" customHeight="1">
      <c r="A25" s="50" t="s">
        <v>5</v>
      </c>
      <c r="B25" s="242"/>
      <c r="C25" s="80"/>
      <c r="D25" s="243"/>
      <c r="E25" s="226"/>
      <c r="F25" s="89"/>
      <c r="G25" s="81"/>
      <c r="H25" s="228"/>
      <c r="I25" s="229"/>
      <c r="J25" s="261" t="str">
        <f t="shared" si="2"/>
        <v/>
      </c>
      <c r="K25" s="200">
        <v>22</v>
      </c>
      <c r="L25" s="133">
        <f t="shared" si="3"/>
        <v>0</v>
      </c>
      <c r="M25" s="135" t="s">
        <v>5</v>
      </c>
    </row>
    <row r="26" spans="1:13" ht="13.35" customHeight="1">
      <c r="A26" s="50" t="s">
        <v>5</v>
      </c>
      <c r="B26" s="242"/>
      <c r="C26" s="80"/>
      <c r="D26" s="243"/>
      <c r="E26" s="226"/>
      <c r="F26" s="89"/>
      <c r="G26" s="81"/>
      <c r="H26" s="228"/>
      <c r="I26" s="229"/>
      <c r="J26" s="261" t="str">
        <f t="shared" si="2"/>
        <v/>
      </c>
      <c r="K26" s="200">
        <v>23</v>
      </c>
      <c r="L26" s="133">
        <f t="shared" si="3"/>
        <v>0</v>
      </c>
      <c r="M26" s="135" t="s">
        <v>5</v>
      </c>
    </row>
    <row r="27" spans="1:13" ht="13.35" customHeight="1">
      <c r="A27" s="50" t="s">
        <v>5</v>
      </c>
      <c r="B27" s="242"/>
      <c r="C27" s="80"/>
      <c r="D27" s="243"/>
      <c r="E27" s="226"/>
      <c r="F27" s="89"/>
      <c r="G27" s="81"/>
      <c r="H27" s="228"/>
      <c r="I27" s="229"/>
      <c r="J27" s="261" t="str">
        <f t="shared" si="2"/>
        <v/>
      </c>
      <c r="K27" s="200">
        <v>24</v>
      </c>
      <c r="L27" s="133">
        <f t="shared" si="3"/>
        <v>0</v>
      </c>
      <c r="M27" s="135" t="s">
        <v>5</v>
      </c>
    </row>
    <row r="28" spans="1:13" ht="13.35" customHeight="1">
      <c r="A28" s="50" t="s">
        <v>5</v>
      </c>
      <c r="B28" s="242"/>
      <c r="C28" s="80"/>
      <c r="D28" s="243"/>
      <c r="E28" s="226"/>
      <c r="F28" s="89"/>
      <c r="G28" s="81"/>
      <c r="H28" s="228"/>
      <c r="I28" s="229"/>
      <c r="J28" s="261" t="str">
        <f t="shared" si="2"/>
        <v/>
      </c>
      <c r="K28" s="200">
        <v>25</v>
      </c>
      <c r="L28" s="133">
        <f t="shared" si="3"/>
        <v>0</v>
      </c>
      <c r="M28" s="135" t="s">
        <v>5</v>
      </c>
    </row>
    <row r="29" spans="1:13" ht="13.35" customHeight="1">
      <c r="A29" s="50" t="s">
        <v>5</v>
      </c>
      <c r="B29" s="242"/>
      <c r="C29" s="80"/>
      <c r="D29" s="243"/>
      <c r="E29" s="226"/>
      <c r="F29" s="89"/>
      <c r="G29" s="81"/>
      <c r="H29" s="228"/>
      <c r="I29" s="229"/>
      <c r="J29" s="261" t="str">
        <f t="shared" si="2"/>
        <v/>
      </c>
      <c r="K29" s="200">
        <v>26</v>
      </c>
      <c r="L29" s="133">
        <f t="shared" si="3"/>
        <v>0</v>
      </c>
      <c r="M29" s="135" t="s">
        <v>5</v>
      </c>
    </row>
    <row r="30" spans="1:13" ht="13.35" customHeight="1">
      <c r="A30" s="50" t="s">
        <v>5</v>
      </c>
      <c r="B30" s="242"/>
      <c r="C30" s="80"/>
      <c r="D30" s="243"/>
      <c r="E30" s="226"/>
      <c r="F30" s="89"/>
      <c r="G30" s="81"/>
      <c r="H30" s="228"/>
      <c r="I30" s="229"/>
      <c r="J30" s="261" t="str">
        <f t="shared" si="2"/>
        <v/>
      </c>
      <c r="K30" s="200">
        <v>27</v>
      </c>
      <c r="L30" s="133">
        <f t="shared" si="3"/>
        <v>0</v>
      </c>
      <c r="M30" s="135" t="s">
        <v>5</v>
      </c>
    </row>
    <row r="31" spans="1:13" ht="13.35" customHeight="1">
      <c r="A31" s="50" t="s">
        <v>5</v>
      </c>
      <c r="B31" s="242"/>
      <c r="C31" s="80"/>
      <c r="D31" s="243"/>
      <c r="E31" s="226"/>
      <c r="F31" s="89"/>
      <c r="G31" s="81"/>
      <c r="H31" s="228"/>
      <c r="I31" s="229"/>
      <c r="J31" s="261" t="str">
        <f t="shared" si="2"/>
        <v/>
      </c>
      <c r="K31" s="200">
        <v>28</v>
      </c>
      <c r="L31" s="133">
        <f t="shared" si="3"/>
        <v>0</v>
      </c>
      <c r="M31" s="135" t="s">
        <v>5</v>
      </c>
    </row>
    <row r="32" spans="1:13" ht="13.35" customHeight="1">
      <c r="A32" s="50" t="s">
        <v>5</v>
      </c>
      <c r="B32" s="242"/>
      <c r="C32" s="80"/>
      <c r="D32" s="243"/>
      <c r="E32" s="226"/>
      <c r="F32" s="89"/>
      <c r="G32" s="81"/>
      <c r="H32" s="228"/>
      <c r="I32" s="229"/>
      <c r="J32" s="261" t="str">
        <f t="shared" si="2"/>
        <v/>
      </c>
      <c r="K32" s="200">
        <v>29</v>
      </c>
      <c r="L32" s="133">
        <f t="shared" si="3"/>
        <v>0</v>
      </c>
      <c r="M32" s="135" t="s">
        <v>5</v>
      </c>
    </row>
    <row r="33" spans="1:13" ht="13.35" customHeight="1">
      <c r="A33" s="50" t="s">
        <v>5</v>
      </c>
      <c r="B33" s="242"/>
      <c r="C33" s="80"/>
      <c r="D33" s="243"/>
      <c r="E33" s="226"/>
      <c r="F33" s="89"/>
      <c r="G33" s="81"/>
      <c r="H33" s="228"/>
      <c r="I33" s="229"/>
      <c r="J33" s="261" t="str">
        <f t="shared" si="2"/>
        <v/>
      </c>
      <c r="K33" s="200">
        <v>30</v>
      </c>
      <c r="L33" s="133">
        <f t="shared" si="3"/>
        <v>0</v>
      </c>
      <c r="M33" s="135" t="s">
        <v>5</v>
      </c>
    </row>
    <row r="34" spans="1:13" ht="13.35" customHeight="1">
      <c r="A34" s="50" t="s">
        <v>5</v>
      </c>
      <c r="B34" s="242"/>
      <c r="C34" s="80"/>
      <c r="D34" s="243"/>
      <c r="E34" s="226"/>
      <c r="F34" s="89"/>
      <c r="G34" s="81"/>
      <c r="H34" s="228"/>
      <c r="I34" s="229"/>
      <c r="J34" s="261" t="str">
        <f t="shared" si="2"/>
        <v/>
      </c>
      <c r="K34" s="200">
        <v>31</v>
      </c>
      <c r="L34" s="133">
        <f t="shared" si="3"/>
        <v>0</v>
      </c>
      <c r="M34" s="135" t="s">
        <v>5</v>
      </c>
    </row>
    <row r="35" spans="1:13" ht="13.35" customHeight="1">
      <c r="A35" s="50" t="s">
        <v>5</v>
      </c>
      <c r="B35" s="242"/>
      <c r="C35" s="80"/>
      <c r="D35" s="243"/>
      <c r="E35" s="226"/>
      <c r="F35" s="89"/>
      <c r="G35" s="81"/>
      <c r="H35" s="228"/>
      <c r="I35" s="229"/>
      <c r="J35" s="261" t="str">
        <f t="shared" si="2"/>
        <v/>
      </c>
      <c r="K35" s="200">
        <v>32</v>
      </c>
      <c r="L35" s="133">
        <f t="shared" si="3"/>
        <v>0</v>
      </c>
      <c r="M35" s="135" t="s">
        <v>5</v>
      </c>
    </row>
    <row r="36" spans="1:13" ht="13.35" customHeight="1">
      <c r="A36" s="50" t="s">
        <v>5</v>
      </c>
      <c r="B36" s="242"/>
      <c r="C36" s="80"/>
      <c r="D36" s="243"/>
      <c r="E36" s="226"/>
      <c r="F36" s="89"/>
      <c r="G36" s="81"/>
      <c r="H36" s="228"/>
      <c r="I36" s="229"/>
      <c r="J36" s="261" t="str">
        <f t="shared" si="2"/>
        <v/>
      </c>
      <c r="K36" s="200">
        <v>33</v>
      </c>
      <c r="L36" s="133">
        <f t="shared" si="3"/>
        <v>0</v>
      </c>
      <c r="M36" s="135" t="s">
        <v>5</v>
      </c>
    </row>
    <row r="37" spans="1:13" ht="13.35" customHeight="1">
      <c r="A37" s="50" t="s">
        <v>5</v>
      </c>
      <c r="B37" s="242"/>
      <c r="C37" s="80"/>
      <c r="D37" s="243"/>
      <c r="E37" s="226"/>
      <c r="F37" s="89"/>
      <c r="G37" s="81"/>
      <c r="H37" s="228"/>
      <c r="I37" s="229"/>
      <c r="J37" s="261" t="str">
        <f t="shared" si="2"/>
        <v/>
      </c>
      <c r="K37" s="200">
        <v>34</v>
      </c>
      <c r="L37" s="133">
        <f t="shared" si="3"/>
        <v>0</v>
      </c>
      <c r="M37" s="135" t="s">
        <v>5</v>
      </c>
    </row>
    <row r="38" spans="1:13" ht="13.35" customHeight="1">
      <c r="A38" s="50" t="s">
        <v>5</v>
      </c>
      <c r="B38" s="242"/>
      <c r="C38" s="80"/>
      <c r="D38" s="243"/>
      <c r="E38" s="226"/>
      <c r="F38" s="89"/>
      <c r="G38" s="81"/>
      <c r="H38" s="228"/>
      <c r="I38" s="229"/>
      <c r="J38" s="261" t="str">
        <f t="shared" si="2"/>
        <v/>
      </c>
      <c r="K38" s="200">
        <v>35</v>
      </c>
      <c r="L38" s="133">
        <f t="shared" si="3"/>
        <v>0</v>
      </c>
      <c r="M38" s="135" t="s">
        <v>5</v>
      </c>
    </row>
    <row r="39" spans="1:13" ht="13.35" customHeight="1">
      <c r="A39" s="50" t="s">
        <v>5</v>
      </c>
      <c r="B39" s="242"/>
      <c r="C39" s="80"/>
      <c r="D39" s="243"/>
      <c r="E39" s="226"/>
      <c r="F39" s="89"/>
      <c r="G39" s="81"/>
      <c r="H39" s="228"/>
      <c r="I39" s="229"/>
      <c r="J39" s="261" t="str">
        <f t="shared" si="2"/>
        <v/>
      </c>
      <c r="K39" s="200">
        <v>36</v>
      </c>
      <c r="L39" s="133">
        <f t="shared" si="3"/>
        <v>0</v>
      </c>
      <c r="M39" s="135" t="s">
        <v>5</v>
      </c>
    </row>
    <row r="40" spans="1:13" ht="13.35" customHeight="1">
      <c r="A40" s="50" t="s">
        <v>5</v>
      </c>
      <c r="B40" s="242"/>
      <c r="C40" s="80"/>
      <c r="D40" s="243"/>
      <c r="E40" s="226"/>
      <c r="F40" s="89"/>
      <c r="G40" s="81"/>
      <c r="H40" s="228"/>
      <c r="I40" s="229"/>
      <c r="J40" s="261" t="str">
        <f t="shared" si="2"/>
        <v/>
      </c>
      <c r="K40" s="200">
        <v>37</v>
      </c>
      <c r="L40" s="133">
        <f t="shared" si="3"/>
        <v>0</v>
      </c>
      <c r="M40" s="135" t="s">
        <v>5</v>
      </c>
    </row>
    <row r="41" spans="1:13" ht="13.35" customHeight="1">
      <c r="A41" s="50" t="s">
        <v>5</v>
      </c>
      <c r="B41" s="242"/>
      <c r="C41" s="80"/>
      <c r="D41" s="243"/>
      <c r="E41" s="226"/>
      <c r="F41" s="89"/>
      <c r="G41" s="81"/>
      <c r="H41" s="228"/>
      <c r="I41" s="229"/>
      <c r="J41" s="261" t="str">
        <f t="shared" si="2"/>
        <v/>
      </c>
      <c r="K41" s="200">
        <v>38</v>
      </c>
      <c r="L41" s="133">
        <f t="shared" si="3"/>
        <v>0</v>
      </c>
      <c r="M41" s="135" t="s">
        <v>5</v>
      </c>
    </row>
    <row r="42" spans="1:13" ht="13.35" customHeight="1">
      <c r="A42" s="50" t="s">
        <v>5</v>
      </c>
      <c r="B42" s="242"/>
      <c r="C42" s="80"/>
      <c r="D42" s="243"/>
      <c r="E42" s="226"/>
      <c r="F42" s="89"/>
      <c r="G42" s="81"/>
      <c r="H42" s="228"/>
      <c r="I42" s="229"/>
      <c r="J42" s="261" t="str">
        <f t="shared" si="2"/>
        <v/>
      </c>
      <c r="K42" s="200">
        <v>39</v>
      </c>
      <c r="L42" s="133">
        <f t="shared" si="3"/>
        <v>0</v>
      </c>
      <c r="M42" s="135" t="s">
        <v>5</v>
      </c>
    </row>
    <row r="43" spans="1:13" ht="13.35" customHeight="1">
      <c r="A43" s="50" t="s">
        <v>5</v>
      </c>
      <c r="B43" s="242"/>
      <c r="C43" s="80"/>
      <c r="D43" s="243"/>
      <c r="E43" s="226"/>
      <c r="F43" s="89"/>
      <c r="G43" s="81"/>
      <c r="H43" s="228"/>
      <c r="I43" s="229"/>
      <c r="J43" s="261" t="str">
        <f t="shared" si="2"/>
        <v/>
      </c>
      <c r="K43" s="200">
        <v>40</v>
      </c>
      <c r="L43" s="133">
        <f t="shared" si="3"/>
        <v>0</v>
      </c>
      <c r="M43" s="135" t="s">
        <v>5</v>
      </c>
    </row>
    <row r="44" spans="1:13" ht="13.35" customHeight="1">
      <c r="A44" s="50" t="s">
        <v>5</v>
      </c>
      <c r="B44" s="242"/>
      <c r="C44" s="80"/>
      <c r="D44" s="243"/>
      <c r="E44" s="226"/>
      <c r="F44" s="89"/>
      <c r="G44" s="81"/>
      <c r="H44" s="228"/>
      <c r="I44" s="229"/>
      <c r="J44" s="261" t="str">
        <f t="shared" si="2"/>
        <v/>
      </c>
      <c r="K44" s="200">
        <v>41</v>
      </c>
      <c r="L44" s="133">
        <f t="shared" si="3"/>
        <v>0</v>
      </c>
      <c r="M44" s="135" t="s">
        <v>5</v>
      </c>
    </row>
    <row r="45" spans="1:13" ht="13.35" customHeight="1">
      <c r="A45" s="50" t="s">
        <v>5</v>
      </c>
      <c r="B45" s="242"/>
      <c r="C45" s="80"/>
      <c r="D45" s="243"/>
      <c r="E45" s="226"/>
      <c r="F45" s="89"/>
      <c r="G45" s="81"/>
      <c r="H45" s="228"/>
      <c r="I45" s="229"/>
      <c r="J45" s="261" t="str">
        <f t="shared" ref="J45:J46" si="6">IF(G45&lt;&gt;0,+G45-I45,"")</f>
        <v/>
      </c>
      <c r="K45" s="200">
        <v>44</v>
      </c>
      <c r="L45" s="133">
        <f t="shared" ref="L45:L46" si="7">IF(B45&lt;$O$2,0,IF(B45&lt;$P$2,1,IF(B45&lt;$Q$2,2,IF(B45&lt;$R$2,3,IF(B45&lt;$S$2,4,IF(B45&lt;$T$2,5,IF(B45&lt;$U$2,6,IF(B45&lt;$V$2,7,IF(B45&lt;$W$2,8,IF(B45&lt;$X$2,9,IF(B45&lt;$Y$2,10,IF(B45&lt;$Z$2,11,IF(B45&lt;=$Z$3,12,0)))))))))))))</f>
        <v>0</v>
      </c>
      <c r="M45" s="135" t="s">
        <v>5</v>
      </c>
    </row>
    <row r="46" spans="1:13" ht="13.35" customHeight="1" thickBot="1">
      <c r="A46" s="50" t="s">
        <v>5</v>
      </c>
      <c r="B46" s="242"/>
      <c r="C46" s="80"/>
      <c r="D46" s="243"/>
      <c r="E46" s="226"/>
      <c r="F46" s="89"/>
      <c r="G46" s="81"/>
      <c r="H46" s="228"/>
      <c r="I46" s="229"/>
      <c r="J46" s="261" t="str">
        <f t="shared" si="6"/>
        <v/>
      </c>
      <c r="K46" s="200">
        <v>45</v>
      </c>
      <c r="L46" s="133">
        <f t="shared" si="7"/>
        <v>0</v>
      </c>
      <c r="M46" s="135" t="s">
        <v>5</v>
      </c>
    </row>
    <row r="47" spans="1:13" ht="12" customHeight="1" thickTop="1" thickBot="1">
      <c r="A47" s="391" t="s">
        <v>283</v>
      </c>
      <c r="B47" s="1244" t="str">
        <f>IF($A$48=0,"^ Zeile einfügen","bis hierher ziehen!")</f>
        <v>^ Zeile einfügen</v>
      </c>
      <c r="C47" s="1244"/>
      <c r="D47" s="392" t="s">
        <v>5</v>
      </c>
      <c r="E47" s="393" t="s">
        <v>5</v>
      </c>
      <c r="F47" s="394" t="s">
        <v>5</v>
      </c>
      <c r="G47" s="394"/>
      <c r="H47" s="395"/>
      <c r="I47" s="396"/>
      <c r="J47" s="425"/>
      <c r="K47" s="201">
        <v>0</v>
      </c>
      <c r="L47" s="185" t="s">
        <v>5</v>
      </c>
      <c r="M47" s="398" t="s">
        <v>283</v>
      </c>
    </row>
    <row r="48" spans="1:13" ht="12" customHeight="1" thickTop="1" thickBot="1">
      <c r="A48" s="390">
        <f>COUNTBLANK(A3:A47)+A49</f>
        <v>0</v>
      </c>
      <c r="B48" s="193" t="str">
        <f>+EÜR!C19</f>
        <v>ü</v>
      </c>
      <c r="C48" s="194" t="s">
        <v>5</v>
      </c>
      <c r="D48" s="194" t="s">
        <v>5</v>
      </c>
      <c r="E48" s="195" t="s">
        <v>5</v>
      </c>
      <c r="F48" s="196" t="s">
        <v>5</v>
      </c>
      <c r="G48" s="197">
        <f>SUBTOTAL(9,G3:G47)</f>
        <v>0</v>
      </c>
      <c r="H48" s="1242">
        <f>SUBTOTAL(9,I3:I47)</f>
        <v>0</v>
      </c>
      <c r="I48" s="1243">
        <f>SUBTOTAL(9,I3:I47)</f>
        <v>0</v>
      </c>
      <c r="J48" s="1284">
        <f>G48-H48</f>
        <v>0</v>
      </c>
      <c r="K48" s="1285"/>
      <c r="L48" s="1286"/>
      <c r="M48" s="135" t="s">
        <v>5</v>
      </c>
    </row>
    <row r="49" spans="1:14" ht="12" customHeight="1" thickTop="1" thickBot="1">
      <c r="A49" s="390">
        <f>IF(ISERROR(J47),1,0)</f>
        <v>0</v>
      </c>
      <c r="B49" s="192">
        <f>J48-G49-E49-C49</f>
        <v>0</v>
      </c>
      <c r="C49" s="1239">
        <f>SUMIF(F4:F47,"Kreditkarte",G4:G47)</f>
        <v>0</v>
      </c>
      <c r="D49" s="1239"/>
      <c r="E49" s="1240">
        <f>SUMIF(F4:F47,"Konto",G4:G47)</f>
        <v>0</v>
      </c>
      <c r="F49" s="1240"/>
      <c r="G49" s="1241">
        <f>SUMIF(F4:F47,"Geldbeutel",G4:G47)</f>
        <v>0</v>
      </c>
      <c r="H49" s="1241"/>
      <c r="I49" s="1241"/>
      <c r="J49" s="1287"/>
      <c r="K49" s="1288"/>
      <c r="L49" s="1289"/>
      <c r="M49" s="135" t="s">
        <v>5</v>
      </c>
    </row>
    <row r="50" spans="1:14" s="15" customFormat="1" ht="5.25" customHeight="1" thickTop="1">
      <c r="A50" s="36"/>
      <c r="B50" s="2"/>
      <c r="C50" s="3"/>
      <c r="D50" s="3"/>
      <c r="E50" s="1"/>
      <c r="G50" s="16"/>
      <c r="H50" s="16"/>
      <c r="I50" s="17"/>
      <c r="J50" s="18"/>
      <c r="K50" s="18"/>
      <c r="L50" s="31"/>
      <c r="N50" s="148"/>
    </row>
    <row r="51" spans="1:14">
      <c r="A51" s="36"/>
    </row>
  </sheetData>
  <sheetProtection formatCells="0" insertRows="0" deleteRows="0" selectLockedCells="1" sort="0" autoFilter="0"/>
  <mergeCells count="12">
    <mergeCell ref="AA9:AB9"/>
    <mergeCell ref="O10:Z10"/>
    <mergeCell ref="O11:Z11"/>
    <mergeCell ref="H48:I48"/>
    <mergeCell ref="C2:I2"/>
    <mergeCell ref="J2:L2"/>
    <mergeCell ref="J48:L49"/>
    <mergeCell ref="C49:D49"/>
    <mergeCell ref="E49:F49"/>
    <mergeCell ref="G49:I49"/>
    <mergeCell ref="AA4:AB4"/>
    <mergeCell ref="B47:C47"/>
  </mergeCells>
  <conditionalFormatting sqref="A4:A46">
    <cfRule type="expression" dxfId="1459" priority="19">
      <formula>ISERROR(J4)</formula>
    </cfRule>
    <cfRule type="cellIs" dxfId="1458" priority="20" operator="equal">
      <formula>""</formula>
    </cfRule>
  </conditionalFormatting>
  <conditionalFormatting sqref="A47:C47">
    <cfRule type="expression" dxfId="1457" priority="4">
      <formula>$A$48&lt;&gt;0</formula>
    </cfRule>
  </conditionalFormatting>
  <conditionalFormatting sqref="B2">
    <cfRule type="expression" dxfId="1456" priority="31" stopIfTrue="1">
      <formula>$B$48="x"</formula>
    </cfRule>
  </conditionalFormatting>
  <conditionalFormatting sqref="B48">
    <cfRule type="cellIs" dxfId="1455" priority="62" operator="equal">
      <formula>"y"</formula>
    </cfRule>
  </conditionalFormatting>
  <conditionalFormatting sqref="B3:J46">
    <cfRule type="expression" dxfId="1454" priority="1">
      <formula>$B$48="x"</formula>
    </cfRule>
  </conditionalFormatting>
  <conditionalFormatting sqref="C49:I49">
    <cfRule type="cellIs" dxfId="1453" priority="59" stopIfTrue="1" operator="greaterThanOrEqual">
      <formula>0</formula>
    </cfRule>
    <cfRule type="cellIs" dxfId="1452" priority="61" stopIfTrue="1" operator="lessThan">
      <formula>0</formula>
    </cfRule>
  </conditionalFormatting>
  <conditionalFormatting sqref="D47:J47">
    <cfRule type="expression" dxfId="1451" priority="6">
      <formula>$A$48&lt;&gt;0</formula>
    </cfRule>
  </conditionalFormatting>
  <conditionalFormatting sqref="J48:L48 C49:L49 C48:H48">
    <cfRule type="expression" dxfId="1449" priority="58">
      <formula>$B$48="x"</formula>
    </cfRule>
  </conditionalFormatting>
  <conditionalFormatting sqref="J48:L49">
    <cfRule type="expression" dxfId="1448" priority="57">
      <formula>AND($B$48="x",$J$48&lt;&gt;0)</formula>
    </cfRule>
  </conditionalFormatting>
  <conditionalFormatting sqref="M3">
    <cfRule type="cellIs" dxfId="1447" priority="28" operator="equal">
      <formula>""</formula>
    </cfRule>
  </conditionalFormatting>
  <conditionalFormatting sqref="M4:M46">
    <cfRule type="expression" dxfId="1446" priority="26">
      <formula>ISERROR(J4)</formula>
    </cfRule>
    <cfRule type="cellIs" dxfId="1445" priority="27" operator="equal">
      <formula>""</formula>
    </cfRule>
  </conditionalFormatting>
  <conditionalFormatting sqref="M47">
    <cfRule type="expression" dxfId="1444" priority="5">
      <formula>$A$48&lt;&gt;0</formula>
    </cfRule>
  </conditionalFormatting>
  <conditionalFormatting sqref="M47:M49">
    <cfRule type="cellIs" dxfId="1443" priority="8" operator="equal">
      <formula>""</formula>
    </cfRule>
  </conditionalFormatting>
  <conditionalFormatting sqref="N10:AB10 O11:AB49">
    <cfRule type="expression" dxfId="1442" priority="29">
      <formula>$N$2=0</formula>
    </cfRule>
  </conditionalFormatting>
  <conditionalFormatting sqref="O11:Z11">
    <cfRule type="cellIs" dxfId="1441" priority="43" operator="equal">
      <formula>"Fehler!"</formula>
    </cfRule>
  </conditionalFormatting>
  <conditionalFormatting sqref="O4:AA4">
    <cfRule type="expression" dxfId="1440" priority="30">
      <formula>$N$2=0</formula>
    </cfRule>
  </conditionalFormatting>
  <conditionalFormatting sqref="O2:AB3">
    <cfRule type="expression" dxfId="1438" priority="3">
      <formula>$N$2=0</formula>
    </cfRule>
  </conditionalFormatting>
  <conditionalFormatting sqref="O5:AB8 O9:AA9">
    <cfRule type="expression" dxfId="1437" priority="42">
      <formula>$N$2=0</formula>
    </cfRule>
  </conditionalFormatting>
  <dataValidations count="3">
    <dataValidation type="list" allowBlank="1" showInputMessage="1" showErrorMessage="1" sqref="F4:F46" xr:uid="{E029F868-CE5E-462E-B213-78E0E83410D8}">
      <formula1>"Konto,Geldbeutel,Kreditkarte,x"</formula1>
    </dataValidation>
    <dataValidation type="list" allowBlank="1" showInputMessage="1" showErrorMessage="1" sqref="H4:H46" xr:uid="{B705CCCA-C45D-4A5E-BD78-D5DDE664B208}">
      <formula1>"19,7,0,~"</formula1>
    </dataValidation>
    <dataValidation type="list" allowBlank="1" showInputMessage="1" showErrorMessage="1" sqref="D4:D46" xr:uid="{767944D4-37D1-4B58-ADF5-036725F362EF}">
      <formula1>"wie Vorjahr,Übernahme,Beginn,Ende"</formula1>
    </dataValidation>
  </dataValidations>
  <hyperlinks>
    <hyperlink ref="J2" location="'2022 EÜR'!A1" display="Menü" xr:uid="{F0869A8A-18D2-4BB3-9E44-8D654F281A6F}"/>
    <hyperlink ref="J2:L2" location="EÜR!A1" display="EÜR" xr:uid="{8A301ECD-0CC9-46B5-9357-AD080BB98CA4}"/>
  </hyperlinks>
  <printOptions horizontalCentered="1"/>
  <pageMargins left="0" right="0" top="0" bottom="0.31496062992125984" header="0" footer="0"/>
  <pageSetup paperSize="9" orientation="portrait" r:id="rId1"/>
  <headerFooter>
    <oddFooter>&amp;L&amp;"Arial,Standard"&amp;8Datei: &amp;Z&amp;F/&amp;A&amp;C&amp;"Arial,Standard"&amp;8Seite &amp;P von &amp;N&amp;R&amp;"Arial,Standard"&amp;8Druck: &amp;D&amp;T Uhr</oddFooter>
  </headerFooter>
  <extLst>
    <ext xmlns:x14="http://schemas.microsoft.com/office/spreadsheetml/2009/9/main" uri="{78C0D931-6437-407d-A8EE-F0AAD7539E65}">
      <x14:conditionalFormattings>
        <x14:conditionalFormatting xmlns:xm="http://schemas.microsoft.com/office/excel/2006/main">
          <x14:cfRule type="expression" priority="40" id="{3271795D-55A0-4F1B-B263-BF6136A55C5E}">
            <xm:f>AND(EÜR!$J$66&lt;&gt;"ü",$H$48&lt;&gt;0)</xm:f>
            <x14:dxf>
              <font>
                <b/>
                <i val="0"/>
                <color rgb="FFFFFF00"/>
              </font>
              <fill>
                <patternFill>
                  <bgColor rgb="FFFF0000"/>
                </patternFill>
              </fill>
            </x14:dxf>
          </x14:cfRule>
          <xm:sqref>H48:I48</xm:sqref>
        </x14:conditionalFormatting>
        <x14:conditionalFormatting xmlns:xm="http://schemas.microsoft.com/office/excel/2006/main">
          <x14:cfRule type="expression" priority="35" id="{B612F1EB-4E31-4B24-9364-324662DE1FD1}">
            <xm:f>EÜR!$J$66="-"</xm:f>
            <x14:dxf>
              <font>
                <b/>
                <i val="0"/>
                <color theme="0"/>
              </font>
              <fill>
                <patternFill>
                  <bgColor theme="0"/>
                </patternFill>
              </fill>
              <border>
                <left/>
                <right/>
                <top/>
                <bottom/>
              </border>
            </x14:dxf>
          </x14:cfRule>
          <xm:sqref>O12:AA14</xm:sqref>
        </x14:conditionalFormatting>
      </x14:conditionalFormatting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519213-C762-48E8-B181-83A414B486E8}">
  <sheetPr codeName="Tabelle13">
    <tabColor theme="0" tint="-0.34998626667073579"/>
    <pageSetUpPr autoPageBreaks="0"/>
  </sheetPr>
  <dimension ref="A1:AB51"/>
  <sheetViews>
    <sheetView showGridLines="0" showRowColHeaders="0" zoomScaleNormal="100" workbookViewId="0">
      <pane ySplit="3" topLeftCell="A4" activePane="bottomLeft" state="frozen"/>
      <selection activeCell="O2" sqref="O2:Z3"/>
      <selection pane="bottomLeft" activeCell="A4" sqref="A4"/>
    </sheetView>
  </sheetViews>
  <sheetFormatPr baseColWidth="10" defaultColWidth="9.77734375" defaultRowHeight="12.75"/>
  <cols>
    <col min="1" max="1" width="0.77734375" style="12" customWidth="1"/>
    <col min="2" max="2" width="7.6640625" style="30" customWidth="1"/>
    <col min="3" max="3" width="21.6640625" style="24" customWidth="1"/>
    <col min="4" max="4" width="7.6640625" style="24" customWidth="1"/>
    <col min="5" max="5" width="6.6640625" style="25" customWidth="1"/>
    <col min="6" max="6" width="9.6640625" style="26" customWidth="1"/>
    <col min="7" max="7" width="9.6640625" style="27" customWidth="1"/>
    <col min="8" max="8" width="2.6640625" style="28" customWidth="1"/>
    <col min="9" max="9" width="6.6640625" style="29" customWidth="1"/>
    <col min="10" max="10" width="9.6640625" style="27" customWidth="1"/>
    <col min="11" max="11" width="2.5546875" style="27" hidden="1" customWidth="1"/>
    <col min="12" max="12" width="1.5546875" style="32" hidden="1" customWidth="1"/>
    <col min="13" max="13" width="0.77734375" style="13" customWidth="1"/>
    <col min="14" max="14" width="1.77734375" style="147" customWidth="1"/>
    <col min="15" max="26" width="8.77734375" style="13" customWidth="1"/>
    <col min="27" max="27" width="10.33203125" style="13" customWidth="1"/>
    <col min="28" max="28" width="8.33203125" style="13" customWidth="1"/>
    <col min="29" max="16384" width="9.77734375" style="13"/>
  </cols>
  <sheetData>
    <row r="1" spans="1:28" s="37" customFormat="1" ht="3" customHeight="1" thickBot="1">
      <c r="A1" s="36"/>
      <c r="B1" s="53" t="str">
        <f>+B48</f>
        <v>ü</v>
      </c>
      <c r="C1" s="54">
        <f>+C49</f>
        <v>0</v>
      </c>
      <c r="D1" s="54"/>
      <c r="E1" s="53">
        <f>+E49</f>
        <v>0</v>
      </c>
      <c r="F1" s="53"/>
      <c r="G1" s="54">
        <f>+G49</f>
        <v>0</v>
      </c>
      <c r="H1" s="53"/>
      <c r="I1" s="338" t="str">
        <f>+EÜR!J66</f>
        <v>-</v>
      </c>
      <c r="J1" s="54">
        <v>0</v>
      </c>
      <c r="K1" s="198"/>
      <c r="L1" s="56"/>
      <c r="N1" s="190"/>
    </row>
    <row r="2" spans="1:28" ht="23.1" customHeight="1" thickTop="1" thickBot="1">
      <c r="A2" s="36"/>
      <c r="B2" s="224" t="str">
        <f>+EÜR!D20</f>
        <v>O11</v>
      </c>
      <c r="C2" s="1281" t="str">
        <f>+EÜR!F20</f>
        <v>AfA auf unbewegliche Wirtschaftsgüter</v>
      </c>
      <c r="D2" s="1282"/>
      <c r="E2" s="1282"/>
      <c r="F2" s="1282"/>
      <c r="G2" s="1282"/>
      <c r="H2" s="1282"/>
      <c r="I2" s="1283"/>
      <c r="J2" s="1227" t="s">
        <v>8</v>
      </c>
      <c r="K2" s="1228"/>
      <c r="L2" s="1229"/>
      <c r="M2" s="134"/>
      <c r="N2" s="190">
        <v>0</v>
      </c>
      <c r="O2" s="188">
        <f>+EOMONTH(EÜR!$I$3,-1)+1</f>
        <v>46023</v>
      </c>
      <c r="P2" s="188">
        <f t="shared" ref="P2:Z2" si="0">+O3+1</f>
        <v>46054</v>
      </c>
      <c r="Q2" s="188">
        <f t="shared" si="0"/>
        <v>46082</v>
      </c>
      <c r="R2" s="188">
        <f t="shared" si="0"/>
        <v>46113</v>
      </c>
      <c r="S2" s="188">
        <f t="shared" si="0"/>
        <v>46143</v>
      </c>
      <c r="T2" s="188">
        <f t="shared" si="0"/>
        <v>46174</v>
      </c>
      <c r="U2" s="188">
        <f t="shared" si="0"/>
        <v>46204</v>
      </c>
      <c r="V2" s="188">
        <f t="shared" si="0"/>
        <v>46235</v>
      </c>
      <c r="W2" s="188">
        <f t="shared" si="0"/>
        <v>46266</v>
      </c>
      <c r="X2" s="188">
        <f t="shared" si="0"/>
        <v>46296</v>
      </c>
      <c r="Y2" s="188">
        <f t="shared" si="0"/>
        <v>46327</v>
      </c>
      <c r="Z2" s="188">
        <f t="shared" si="0"/>
        <v>46357</v>
      </c>
      <c r="AA2" s="48"/>
    </row>
    <row r="3" spans="1:28" ht="14.25" customHeight="1" thickTop="1">
      <c r="A3" s="36" t="s">
        <v>5</v>
      </c>
      <c r="B3" s="58" t="s">
        <v>1</v>
      </c>
      <c r="C3" s="59" t="s">
        <v>6</v>
      </c>
      <c r="D3" s="60"/>
      <c r="E3" s="310" t="s">
        <v>7</v>
      </c>
      <c r="F3" s="61" t="s">
        <v>4</v>
      </c>
      <c r="G3" s="62" t="s">
        <v>31</v>
      </c>
      <c r="H3" s="63" t="s">
        <v>33</v>
      </c>
      <c r="I3" s="64" t="s">
        <v>32</v>
      </c>
      <c r="J3" s="274" t="s">
        <v>181</v>
      </c>
      <c r="K3" s="199">
        <v>0</v>
      </c>
      <c r="L3" s="65" t="s">
        <v>5</v>
      </c>
      <c r="M3" s="135" t="s">
        <v>5</v>
      </c>
      <c r="N3" s="222">
        <f>IF(SUBTOTAL(109,K3:K47)&lt;&gt;SUM(K3:K47),1,0)</f>
        <v>0</v>
      </c>
      <c r="O3" s="189">
        <f>EOMONTH(O2,0)</f>
        <v>46053</v>
      </c>
      <c r="P3" s="189">
        <f t="shared" ref="P3:Z3" si="1">EOMONTH(P2,0)</f>
        <v>46081</v>
      </c>
      <c r="Q3" s="189">
        <f t="shared" si="1"/>
        <v>46112</v>
      </c>
      <c r="R3" s="189">
        <f t="shared" si="1"/>
        <v>46142</v>
      </c>
      <c r="S3" s="189">
        <f t="shared" si="1"/>
        <v>46173</v>
      </c>
      <c r="T3" s="189">
        <f t="shared" si="1"/>
        <v>46203</v>
      </c>
      <c r="U3" s="189">
        <f t="shared" si="1"/>
        <v>46234</v>
      </c>
      <c r="V3" s="189">
        <f t="shared" si="1"/>
        <v>46265</v>
      </c>
      <c r="W3" s="189">
        <f t="shared" si="1"/>
        <v>46295</v>
      </c>
      <c r="X3" s="189">
        <f t="shared" si="1"/>
        <v>46326</v>
      </c>
      <c r="Y3" s="189">
        <f t="shared" si="1"/>
        <v>46356</v>
      </c>
      <c r="Z3" s="189">
        <f t="shared" si="1"/>
        <v>46387</v>
      </c>
      <c r="AB3" s="14"/>
    </row>
    <row r="4" spans="1:28" ht="13.35" customHeight="1">
      <c r="A4" s="50" t="s">
        <v>5</v>
      </c>
      <c r="B4" s="242"/>
      <c r="C4" s="80" t="s">
        <v>270</v>
      </c>
      <c r="D4" s="243" t="s">
        <v>458</v>
      </c>
      <c r="E4" s="226" t="s">
        <v>169</v>
      </c>
      <c r="F4" s="385" t="s">
        <v>168</v>
      </c>
      <c r="G4" s="892"/>
      <c r="H4" s="228"/>
      <c r="I4" s="229"/>
      <c r="J4" s="261" t="str">
        <f t="shared" ref="J4:J44" si="2">IF(G4&lt;&gt;0,+G4-I4,"")</f>
        <v/>
      </c>
      <c r="K4" s="200">
        <v>1</v>
      </c>
      <c r="L4" s="133">
        <f>IF(B4&lt;$O$2,0,IF(B4&lt;$P$2,1,IF(B4&lt;$Q$2,2,IF(B4&lt;$R$2,3,IF(B4&lt;$S$2,4,IF(B4&lt;$T$2,5,IF(B4&lt;$U$2,6,IF(B4&lt;$V$2,7,IF(B4&lt;$W$2,8,IF(B4&lt;$X$2,9,IF(B4&lt;$Y$2,10,IF(B4&lt;$Z$2,11,IF(B4&lt;=$Z$3,12,0)))))))))))))</f>
        <v>0</v>
      </c>
      <c r="M4" s="135" t="s">
        <v>5</v>
      </c>
      <c r="N4" s="190">
        <v>0</v>
      </c>
      <c r="O4" s="251" t="s">
        <v>36</v>
      </c>
      <c r="P4" s="251" t="s">
        <v>37</v>
      </c>
      <c r="Q4" s="251" t="s">
        <v>38</v>
      </c>
      <c r="R4" s="251" t="s">
        <v>39</v>
      </c>
      <c r="S4" s="251" t="s">
        <v>40</v>
      </c>
      <c r="T4" s="251" t="s">
        <v>41</v>
      </c>
      <c r="U4" s="251" t="s">
        <v>42</v>
      </c>
      <c r="V4" s="251" t="s">
        <v>43</v>
      </c>
      <c r="W4" s="251" t="s">
        <v>44</v>
      </c>
      <c r="X4" s="251" t="s">
        <v>45</v>
      </c>
      <c r="Y4" s="251" t="s">
        <v>46</v>
      </c>
      <c r="Z4" s="251" t="s">
        <v>47</v>
      </c>
      <c r="AA4" s="1209" t="s">
        <v>255</v>
      </c>
      <c r="AB4" s="1210"/>
    </row>
    <row r="5" spans="1:28" ht="13.35" customHeight="1">
      <c r="A5" s="50" t="s">
        <v>5</v>
      </c>
      <c r="B5" s="242"/>
      <c r="C5" s="80"/>
      <c r="D5" s="243"/>
      <c r="E5" s="226"/>
      <c r="F5" s="89"/>
      <c r="G5" s="81"/>
      <c r="H5" s="228"/>
      <c r="I5" s="229"/>
      <c r="J5" s="261" t="str">
        <f t="shared" si="2"/>
        <v/>
      </c>
      <c r="K5" s="200">
        <v>2</v>
      </c>
      <c r="L5" s="133">
        <f t="shared" ref="L5:L44" si="3">IF(B5&lt;$O$2,0,IF(B5&lt;$P$2,1,IF(B5&lt;$Q$2,2,IF(B5&lt;$R$2,3,IF(B5&lt;$S$2,4,IF(B5&lt;$T$2,5,IF(B5&lt;$U$2,6,IF(B5&lt;$V$2,7,IF(B5&lt;$W$2,8,IF(B5&lt;$X$2,9,IF(B5&lt;$Y$2,10,IF(B5&lt;$Z$2,11,IF(B5&lt;=$Z$3,12,0)))))))))))))</f>
        <v>0</v>
      </c>
      <c r="M5" s="135" t="s">
        <v>5</v>
      </c>
      <c r="O5" s="252">
        <f>SUMIFS($G$3:$G$47,$L$3:$L$47,1,$F$3:$F$47,"Konto")</f>
        <v>0</v>
      </c>
      <c r="P5" s="252">
        <f>SUMIFS($G$3:$G$47,$L$3:$L$47,2,$F$3:$F$47,"Konto")</f>
        <v>0</v>
      </c>
      <c r="Q5" s="252">
        <f>SUMIFS($G$3:$G$47,$L$3:$L$47,3,$F$3:$F$47,"Konto")</f>
        <v>0</v>
      </c>
      <c r="R5" s="252">
        <f>SUMIFS($G$3:$G$47,$L$3:$L$47,4,$F$3:$F$47,"Konto")</f>
        <v>0</v>
      </c>
      <c r="S5" s="252">
        <f>SUMIFS($G$3:$G$47,$L$3:$L$47,5,$F$3:$F$47,"Konto")</f>
        <v>0</v>
      </c>
      <c r="T5" s="252">
        <f>SUMIFS($G$3:$G$47,$L$3:$L$47,6,$F$3:$F$47,"Konto")</f>
        <v>0</v>
      </c>
      <c r="U5" s="252">
        <f>SUMIFS($G$3:$G$47,$L$3:$L$47,7,$F$3:$F$47,"Konto")</f>
        <v>0</v>
      </c>
      <c r="V5" s="252">
        <f>SUMIFS($G$3:$G$47,$L$3:$L$47,8,$F$3:$F$47,"Konto")</f>
        <v>0</v>
      </c>
      <c r="W5" s="252">
        <f>SUMIFS($G$3:$G$47,$L$3:$L$47,9,$F$3:$F$47,"Konto")</f>
        <v>0</v>
      </c>
      <c r="X5" s="252">
        <f>SUMIFS($G$3:$G$47,$L$3:$L$47,10,$F$3:$F$47,"Konto")</f>
        <v>0</v>
      </c>
      <c r="Y5" s="252">
        <f>SUMIFS($G$3:$G$47,$L$3:$L$47,11,$F$3:$F$47,"Konto")</f>
        <v>0</v>
      </c>
      <c r="Z5" s="252">
        <f>SUMIFS($G$3:$G$47,$L$3:$L$47,12,$F$3:$F$47,"Konto")</f>
        <v>0</v>
      </c>
      <c r="AA5" s="253">
        <f>SUM(O5:Z5)</f>
        <v>0</v>
      </c>
      <c r="AB5" s="254" t="s">
        <v>140</v>
      </c>
    </row>
    <row r="6" spans="1:28" ht="13.35" customHeight="1">
      <c r="A6" s="50" t="s">
        <v>5</v>
      </c>
      <c r="B6" s="242"/>
      <c r="C6" s="80"/>
      <c r="D6" s="243"/>
      <c r="E6" s="226"/>
      <c r="F6" s="89"/>
      <c r="G6" s="81"/>
      <c r="H6" s="228"/>
      <c r="I6" s="229"/>
      <c r="J6" s="261" t="str">
        <f t="shared" si="2"/>
        <v/>
      </c>
      <c r="K6" s="200">
        <v>3</v>
      </c>
      <c r="L6" s="133">
        <f t="shared" si="3"/>
        <v>0</v>
      </c>
      <c r="M6" s="135" t="s">
        <v>5</v>
      </c>
      <c r="N6" s="190"/>
      <c r="O6" s="252">
        <f>SUMIFS($G$3:$G$47,$L$3:$L$47,1,$F$3:$F$47,"Kreditkarte")</f>
        <v>0</v>
      </c>
      <c r="P6" s="252">
        <f>SUMIFS($G$3:$G$47,$L$3:$L$47,2,$F$3:$F$47,"Kreditkarte")</f>
        <v>0</v>
      </c>
      <c r="Q6" s="252">
        <f>SUMIFS($G$3:$G$47,$L$3:$L$47,3,$F$3:$F$47,"Kreditkarte")</f>
        <v>0</v>
      </c>
      <c r="R6" s="252">
        <f>SUMIFS($G$3:$G$47,$L$3:$L$47,4,$F$3:$F$47,"Kreditkarte")</f>
        <v>0</v>
      </c>
      <c r="S6" s="252">
        <f>SUMIFS($G$3:$G$47,$L$3:$L$47,5,$F$3:$F$47,"Kreditkarte")</f>
        <v>0</v>
      </c>
      <c r="T6" s="252">
        <f>SUMIFS($G$3:$G$47,$L$3:$L$47,6,$F$3:$F$47,"Kreditkarte")</f>
        <v>0</v>
      </c>
      <c r="U6" s="252">
        <f>SUMIFS($G$3:$G$47,$L$3:$L$47,7,$F$3:$F$47,"Kreditkarte")</f>
        <v>0</v>
      </c>
      <c r="V6" s="252">
        <f>SUMIFS($G$3:$G$47,$L$3:$L$47,8,$F$3:$F$47,"Kreditkarte")</f>
        <v>0</v>
      </c>
      <c r="W6" s="252">
        <f>SUMIFS($G$3:$G$47,$L$3:$L$47,9,$F$3:$F$47,"Kreditkarte")</f>
        <v>0</v>
      </c>
      <c r="X6" s="252">
        <f>SUMIFS($G$3:$G$47,$L$3:$L$47,10,$F$3:$F$47,"Kreditkarte")</f>
        <v>0</v>
      </c>
      <c r="Y6" s="252">
        <f>SUMIFS($G$3:$G$47,$L$3:$L$47,11,$F$3:$F$47,"Kreditkarte")</f>
        <v>0</v>
      </c>
      <c r="Z6" s="252">
        <f>SUMIFS($G$3:$G$47,$L$3:$L$47,12,$F$3:$F$47,"Kreditkarte")</f>
        <v>0</v>
      </c>
      <c r="AA6" s="255">
        <f t="shared" ref="AA6:AA8" si="4">SUM(O6:Z6)</f>
        <v>0</v>
      </c>
      <c r="AB6" s="256" t="s">
        <v>142</v>
      </c>
    </row>
    <row r="7" spans="1:28" ht="13.35" customHeight="1">
      <c r="A7" s="50" t="s">
        <v>5</v>
      </c>
      <c r="B7" s="242"/>
      <c r="C7" s="80"/>
      <c r="D7" s="243"/>
      <c r="E7" s="226"/>
      <c r="F7" s="89"/>
      <c r="G7" s="81"/>
      <c r="H7" s="228"/>
      <c r="I7" s="229"/>
      <c r="J7" s="261" t="str">
        <f t="shared" si="2"/>
        <v/>
      </c>
      <c r="K7" s="200">
        <v>4</v>
      </c>
      <c r="L7" s="133">
        <f t="shared" si="3"/>
        <v>0</v>
      </c>
      <c r="M7" s="135" t="s">
        <v>5</v>
      </c>
      <c r="O7" s="252">
        <f>SUMIFS($G$3:$G$47,$L$3:$L$47,1,$F$3:$F$47,"Geldbeutel")</f>
        <v>0</v>
      </c>
      <c r="P7" s="252">
        <f>SUMIFS($G$3:$G$47,$L$3:$L$47,2,$F$3:$F$47,"Geldbeutel")</f>
        <v>0</v>
      </c>
      <c r="Q7" s="252">
        <f>SUMIFS($G$3:$G$47,$L$3:$L$47,3,$F$3:$F$47,"Geldbeutel")</f>
        <v>0</v>
      </c>
      <c r="R7" s="252">
        <f>SUMIFS($G$3:$G$47,$L$3:$L$47,4,$F$3:$F$47,"Geldbeutel")</f>
        <v>0</v>
      </c>
      <c r="S7" s="252">
        <f>SUMIFS($G$3:$G$47,$L$3:$L$47,5,$F$3:$F$47,"Geldbeutel")</f>
        <v>0</v>
      </c>
      <c r="T7" s="252">
        <f>SUMIFS($G$3:$G$47,$L$3:$L$47,6,$F$3:$F$47,"Geldbeutel")</f>
        <v>0</v>
      </c>
      <c r="U7" s="252">
        <f>SUMIFS($G$3:$G$47,$L$3:$L$47,7,$F$3:$F$47,"Geldbeutel")</f>
        <v>0</v>
      </c>
      <c r="V7" s="252">
        <f>SUMIFS($G$3:$G$47,$L$3:$L$47,8,$F$3:$F$47,"Geldbeutel")</f>
        <v>0</v>
      </c>
      <c r="W7" s="252">
        <f>SUMIFS($G$3:$G$47,$L$3:$L$47,9,$F$3:$F$47,"Geldbeutel")</f>
        <v>0</v>
      </c>
      <c r="X7" s="252">
        <f>SUMIFS($G$3:$G$47,$L$3:$L$47,10,$F$3:$F$47,"Geldbeutel")</f>
        <v>0</v>
      </c>
      <c r="Y7" s="252">
        <f>SUMIFS($G$3:$G$47,$L$3:$L$47,11,$F$3:$F$47,"Geldbeutel")</f>
        <v>0</v>
      </c>
      <c r="Z7" s="252">
        <f>SUMIFS($G$3:$G$47,$L$3:$L$47,12,$F$3:$F$47,"Geldbeutel")</f>
        <v>0</v>
      </c>
      <c r="AA7" s="253">
        <f t="shared" si="4"/>
        <v>0</v>
      </c>
      <c r="AB7" s="254" t="s">
        <v>139</v>
      </c>
    </row>
    <row r="8" spans="1:28" ht="13.35" customHeight="1">
      <c r="A8" s="50" t="s">
        <v>5</v>
      </c>
      <c r="B8" s="242"/>
      <c r="C8" s="80"/>
      <c r="D8" s="243"/>
      <c r="E8" s="226"/>
      <c r="F8" s="89"/>
      <c r="G8" s="81"/>
      <c r="H8" s="228"/>
      <c r="I8" s="229"/>
      <c r="J8" s="261" t="str">
        <f t="shared" si="2"/>
        <v/>
      </c>
      <c r="K8" s="200">
        <v>5</v>
      </c>
      <c r="L8" s="133">
        <f t="shared" si="3"/>
        <v>0</v>
      </c>
      <c r="M8" s="135" t="s">
        <v>5</v>
      </c>
      <c r="O8" s="252">
        <f>SUMIFS($G$3:$G$47,$L$3:$L$47,1,$F$3:$F$47,"X")</f>
        <v>0</v>
      </c>
      <c r="P8" s="252">
        <f>SUMIFS($G$3:$G$47,$L$3:$L$47,2,$F$3:$F$47,"X")</f>
        <v>0</v>
      </c>
      <c r="Q8" s="252">
        <f>SUMIFS($G$3:$G$47,$L$3:$L$47,3,$F$3:$F$47,"X")</f>
        <v>0</v>
      </c>
      <c r="R8" s="252">
        <f>SUMIFS($G$3:$G$47,$L$3:$L$47,4,$F$3:$F$47,"X")</f>
        <v>0</v>
      </c>
      <c r="S8" s="252">
        <f>SUMIFS($G$3:$G$47,$L$3:$L$47,5,$F$3:$F$47,"X")</f>
        <v>0</v>
      </c>
      <c r="T8" s="252">
        <f>SUMIFS($G$3:$G$47,$L$3:$L$47,6,$F$3:$F$47,"X")</f>
        <v>0</v>
      </c>
      <c r="U8" s="252">
        <f>SUMIFS($G$3:$G$47,$L$3:$L$47,7,$F$3:$F$47,"X")</f>
        <v>0</v>
      </c>
      <c r="V8" s="252">
        <f>SUMIFS($G$3:$G$47,$L$3:$L$47,8,$F$3:$F$47,"X")</f>
        <v>0</v>
      </c>
      <c r="W8" s="252">
        <f>SUMIFS($G$3:$G$47,$L$3:$L$47,9,$F$3:$F$47,"X")</f>
        <v>0</v>
      </c>
      <c r="X8" s="252">
        <f>SUMIFS($G$3:$G$47,$L$3:$L$47,10,$F$3:$F$47,"X")</f>
        <v>0</v>
      </c>
      <c r="Y8" s="252">
        <f>SUMIFS($G$3:$G$47,$L$3:$L$47,11,$F$3:$F$47,"X")</f>
        <v>0</v>
      </c>
      <c r="Z8" s="252">
        <f>SUMIFS($G$3:$G$47,$L$3:$L$47,12,$F$3:$F$47,"X")</f>
        <v>0</v>
      </c>
      <c r="AA8" s="255">
        <f t="shared" si="4"/>
        <v>0</v>
      </c>
      <c r="AB8" s="256" t="s">
        <v>192</v>
      </c>
    </row>
    <row r="9" spans="1:28" ht="13.35" customHeight="1">
      <c r="A9" s="50" t="s">
        <v>5</v>
      </c>
      <c r="B9" s="242"/>
      <c r="C9" s="80"/>
      <c r="D9" s="243"/>
      <c r="E9" s="226"/>
      <c r="F9" s="89"/>
      <c r="G9" s="81"/>
      <c r="H9" s="228"/>
      <c r="I9" s="229"/>
      <c r="J9" s="261" t="str">
        <f t="shared" si="2"/>
        <v/>
      </c>
      <c r="K9" s="200">
        <v>6</v>
      </c>
      <c r="L9" s="133">
        <f t="shared" si="3"/>
        <v>0</v>
      </c>
      <c r="M9" s="135" t="s">
        <v>5</v>
      </c>
      <c r="N9" s="191">
        <f>IF(OR(AND(AA14&lt;&gt;0,B48="x"),(O14+AA13)&lt;&gt;H48),1,0)</f>
        <v>0</v>
      </c>
      <c r="O9" s="257">
        <f>SUM(O5:O8)</f>
        <v>0</v>
      </c>
      <c r="P9" s="257">
        <f t="shared" ref="P9:Z9" si="5">SUM(P5:P8)</f>
        <v>0</v>
      </c>
      <c r="Q9" s="257">
        <f t="shared" si="5"/>
        <v>0</v>
      </c>
      <c r="R9" s="257">
        <f t="shared" si="5"/>
        <v>0</v>
      </c>
      <c r="S9" s="257">
        <f t="shared" si="5"/>
        <v>0</v>
      </c>
      <c r="T9" s="257">
        <f t="shared" si="5"/>
        <v>0</v>
      </c>
      <c r="U9" s="257">
        <f t="shared" si="5"/>
        <v>0</v>
      </c>
      <c r="V9" s="257">
        <f t="shared" si="5"/>
        <v>0</v>
      </c>
      <c r="W9" s="257">
        <f t="shared" si="5"/>
        <v>0</v>
      </c>
      <c r="X9" s="257">
        <f t="shared" si="5"/>
        <v>0</v>
      </c>
      <c r="Y9" s="257">
        <f t="shared" si="5"/>
        <v>0</v>
      </c>
      <c r="Z9" s="257">
        <f t="shared" si="5"/>
        <v>0</v>
      </c>
      <c r="AA9" s="1211" t="s">
        <v>197</v>
      </c>
      <c r="AB9" s="1212"/>
    </row>
    <row r="10" spans="1:28" ht="13.35" customHeight="1">
      <c r="A10" s="50" t="s">
        <v>5</v>
      </c>
      <c r="B10" s="242"/>
      <c r="C10" s="80"/>
      <c r="D10" s="243"/>
      <c r="E10" s="226"/>
      <c r="F10" s="89"/>
      <c r="G10" s="81"/>
      <c r="H10" s="228"/>
      <c r="I10" s="229"/>
      <c r="J10" s="261" t="str">
        <f t="shared" si="2"/>
        <v/>
      </c>
      <c r="K10" s="200">
        <v>7</v>
      </c>
      <c r="L10" s="133">
        <f t="shared" si="3"/>
        <v>0</v>
      </c>
      <c r="M10" s="135" t="s">
        <v>5</v>
      </c>
      <c r="N10" s="259">
        <f>IF(O10+AA10&lt;&gt;G48,1,0)</f>
        <v>0</v>
      </c>
      <c r="O10" s="1259">
        <f>SUM(O5:Z8)</f>
        <v>0</v>
      </c>
      <c r="P10" s="1260"/>
      <c r="Q10" s="1260"/>
      <c r="R10" s="1260"/>
      <c r="S10" s="1260"/>
      <c r="T10" s="1260"/>
      <c r="U10" s="1260"/>
      <c r="V10" s="1260"/>
      <c r="W10" s="1260"/>
      <c r="X10" s="1260"/>
      <c r="Y10" s="1260"/>
      <c r="Z10" s="1261"/>
      <c r="AA10" s="292"/>
      <c r="AB10" s="313" t="s">
        <v>257</v>
      </c>
    </row>
    <row r="11" spans="1:28" ht="13.35" customHeight="1">
      <c r="A11" s="50" t="s">
        <v>5</v>
      </c>
      <c r="B11" s="242"/>
      <c r="C11" s="80"/>
      <c r="D11" s="243"/>
      <c r="E11" s="226"/>
      <c r="F11" s="89"/>
      <c r="G11" s="81"/>
      <c r="H11" s="228"/>
      <c r="I11" s="229"/>
      <c r="J11" s="261" t="str">
        <f t="shared" si="2"/>
        <v/>
      </c>
      <c r="K11" s="200">
        <v>8</v>
      </c>
      <c r="L11" s="133">
        <f t="shared" si="3"/>
        <v>0</v>
      </c>
      <c r="M11" s="135" t="s">
        <v>5</v>
      </c>
      <c r="O11" s="1248" t="str">
        <f>IF(N4&gt;0,"Fehler!","")</f>
        <v/>
      </c>
      <c r="P11" s="1248"/>
      <c r="Q11" s="1248"/>
      <c r="R11" s="1248"/>
      <c r="S11" s="1248"/>
      <c r="T11" s="1248"/>
      <c r="U11" s="1248"/>
      <c r="V11" s="1248"/>
      <c r="W11" s="1248"/>
      <c r="X11" s="1248"/>
      <c r="Y11" s="1248"/>
      <c r="Z11" s="1248"/>
    </row>
    <row r="12" spans="1:28" ht="13.35" customHeight="1">
      <c r="A12" s="50" t="s">
        <v>5</v>
      </c>
      <c r="B12" s="242"/>
      <c r="C12" s="80"/>
      <c r="D12" s="243"/>
      <c r="E12" s="226"/>
      <c r="F12" s="89"/>
      <c r="G12" s="81"/>
      <c r="H12" s="228"/>
      <c r="I12" s="229"/>
      <c r="J12" s="261" t="str">
        <f t="shared" si="2"/>
        <v/>
      </c>
      <c r="K12" s="200">
        <v>9</v>
      </c>
      <c r="L12" s="133">
        <f t="shared" si="3"/>
        <v>0</v>
      </c>
      <c r="M12" s="135" t="s">
        <v>5</v>
      </c>
      <c r="AA12" s="38">
        <f>IF(O14+AA13&lt;&gt;H48,1,0)</f>
        <v>0</v>
      </c>
    </row>
    <row r="13" spans="1:28" ht="13.35" customHeight="1">
      <c r="A13" s="50" t="s">
        <v>5</v>
      </c>
      <c r="B13" s="242"/>
      <c r="C13" s="80"/>
      <c r="D13" s="243"/>
      <c r="E13" s="226"/>
      <c r="F13" s="89"/>
      <c r="G13" s="81"/>
      <c r="H13" s="228"/>
      <c r="I13" s="229"/>
      <c r="J13" s="261" t="str">
        <f t="shared" si="2"/>
        <v/>
      </c>
      <c r="K13" s="200">
        <v>10</v>
      </c>
      <c r="L13" s="133">
        <f t="shared" si="3"/>
        <v>0</v>
      </c>
      <c r="M13" s="135" t="s">
        <v>5</v>
      </c>
    </row>
    <row r="14" spans="1:28" ht="13.35" customHeight="1">
      <c r="A14" s="50" t="s">
        <v>5</v>
      </c>
      <c r="B14" s="242"/>
      <c r="C14" s="80"/>
      <c r="D14" s="243"/>
      <c r="E14" s="226"/>
      <c r="F14" s="89"/>
      <c r="G14" s="81"/>
      <c r="H14" s="228"/>
      <c r="I14" s="229"/>
      <c r="J14" s="261" t="str">
        <f t="shared" si="2"/>
        <v/>
      </c>
      <c r="K14" s="200">
        <v>11</v>
      </c>
      <c r="L14" s="133">
        <f t="shared" si="3"/>
        <v>0</v>
      </c>
      <c r="M14" s="135" t="s">
        <v>5</v>
      </c>
    </row>
    <row r="15" spans="1:28" ht="13.35" customHeight="1">
      <c r="A15" s="50" t="s">
        <v>5</v>
      </c>
      <c r="B15" s="242"/>
      <c r="C15" s="260"/>
      <c r="D15" s="243"/>
      <c r="E15" s="226"/>
      <c r="F15" s="89"/>
      <c r="G15" s="81"/>
      <c r="H15" s="228"/>
      <c r="I15" s="229"/>
      <c r="J15" s="261" t="str">
        <f t="shared" si="2"/>
        <v/>
      </c>
      <c r="K15" s="200">
        <v>12</v>
      </c>
      <c r="L15" s="133">
        <f t="shared" si="3"/>
        <v>0</v>
      </c>
      <c r="M15" s="135" t="s">
        <v>5</v>
      </c>
    </row>
    <row r="16" spans="1:28" ht="13.35" customHeight="1">
      <c r="A16" s="50" t="s">
        <v>5</v>
      </c>
      <c r="B16" s="242"/>
      <c r="C16" s="80"/>
      <c r="D16" s="243"/>
      <c r="E16" s="226"/>
      <c r="F16" s="89"/>
      <c r="G16" s="81"/>
      <c r="H16" s="228"/>
      <c r="I16" s="229"/>
      <c r="J16" s="261" t="str">
        <f t="shared" si="2"/>
        <v/>
      </c>
      <c r="K16" s="200">
        <v>13</v>
      </c>
      <c r="L16" s="133">
        <f t="shared" si="3"/>
        <v>0</v>
      </c>
      <c r="M16" s="135" t="s">
        <v>5</v>
      </c>
    </row>
    <row r="17" spans="1:13" ht="13.35" customHeight="1">
      <c r="A17" s="50" t="s">
        <v>5</v>
      </c>
      <c r="B17" s="242"/>
      <c r="C17" s="80"/>
      <c r="D17" s="243"/>
      <c r="E17" s="226"/>
      <c r="F17" s="89"/>
      <c r="G17" s="81"/>
      <c r="H17" s="228"/>
      <c r="I17" s="229"/>
      <c r="J17" s="261" t="str">
        <f t="shared" si="2"/>
        <v/>
      </c>
      <c r="K17" s="200">
        <v>14</v>
      </c>
      <c r="L17" s="133">
        <f t="shared" si="3"/>
        <v>0</v>
      </c>
      <c r="M17" s="135" t="s">
        <v>5</v>
      </c>
    </row>
    <row r="18" spans="1:13" ht="13.35" customHeight="1">
      <c r="A18" s="50" t="s">
        <v>5</v>
      </c>
      <c r="B18" s="242"/>
      <c r="C18" s="80"/>
      <c r="D18" s="243"/>
      <c r="E18" s="226"/>
      <c r="F18" s="89"/>
      <c r="G18" s="81"/>
      <c r="H18" s="228"/>
      <c r="I18" s="229"/>
      <c r="J18" s="261" t="str">
        <f t="shared" si="2"/>
        <v/>
      </c>
      <c r="K18" s="200">
        <v>15</v>
      </c>
      <c r="L18" s="133">
        <f t="shared" si="3"/>
        <v>0</v>
      </c>
      <c r="M18" s="135" t="s">
        <v>5</v>
      </c>
    </row>
    <row r="19" spans="1:13" ht="13.35" customHeight="1">
      <c r="A19" s="50" t="s">
        <v>5</v>
      </c>
      <c r="B19" s="242"/>
      <c r="C19" s="80"/>
      <c r="D19" s="243"/>
      <c r="E19" s="226"/>
      <c r="F19" s="89"/>
      <c r="G19" s="81"/>
      <c r="H19" s="228"/>
      <c r="I19" s="229"/>
      <c r="J19" s="261" t="str">
        <f t="shared" si="2"/>
        <v/>
      </c>
      <c r="K19" s="200">
        <v>16</v>
      </c>
      <c r="L19" s="133">
        <f t="shared" si="3"/>
        <v>0</v>
      </c>
      <c r="M19" s="135" t="s">
        <v>5</v>
      </c>
    </row>
    <row r="20" spans="1:13" ht="13.35" customHeight="1">
      <c r="A20" s="50" t="s">
        <v>5</v>
      </c>
      <c r="B20" s="242"/>
      <c r="C20" s="80"/>
      <c r="D20" s="243"/>
      <c r="E20" s="226"/>
      <c r="F20" s="89"/>
      <c r="G20" s="81"/>
      <c r="H20" s="228"/>
      <c r="I20" s="229"/>
      <c r="J20" s="261" t="str">
        <f t="shared" si="2"/>
        <v/>
      </c>
      <c r="K20" s="200">
        <v>17</v>
      </c>
      <c r="L20" s="133">
        <f t="shared" si="3"/>
        <v>0</v>
      </c>
      <c r="M20" s="135" t="s">
        <v>5</v>
      </c>
    </row>
    <row r="21" spans="1:13" ht="13.35" customHeight="1">
      <c r="A21" s="50" t="s">
        <v>5</v>
      </c>
      <c r="B21" s="242"/>
      <c r="C21" s="80"/>
      <c r="D21" s="243"/>
      <c r="E21" s="226"/>
      <c r="F21" s="89"/>
      <c r="G21" s="81"/>
      <c r="H21" s="228"/>
      <c r="I21" s="229"/>
      <c r="J21" s="261" t="str">
        <f t="shared" si="2"/>
        <v/>
      </c>
      <c r="K21" s="200">
        <v>18</v>
      </c>
      <c r="L21" s="133">
        <f t="shared" si="3"/>
        <v>0</v>
      </c>
      <c r="M21" s="135" t="s">
        <v>5</v>
      </c>
    </row>
    <row r="22" spans="1:13" ht="13.35" customHeight="1">
      <c r="A22" s="50" t="s">
        <v>5</v>
      </c>
      <c r="B22" s="242"/>
      <c r="C22" s="80"/>
      <c r="D22" s="243"/>
      <c r="E22" s="226"/>
      <c r="F22" s="89"/>
      <c r="G22" s="81"/>
      <c r="H22" s="228"/>
      <c r="I22" s="229"/>
      <c r="J22" s="261" t="str">
        <f t="shared" si="2"/>
        <v/>
      </c>
      <c r="K22" s="200">
        <v>19</v>
      </c>
      <c r="L22" s="133">
        <f t="shared" si="3"/>
        <v>0</v>
      </c>
      <c r="M22" s="135" t="s">
        <v>5</v>
      </c>
    </row>
    <row r="23" spans="1:13" ht="13.35" customHeight="1">
      <c r="A23" s="50" t="s">
        <v>5</v>
      </c>
      <c r="B23" s="242"/>
      <c r="C23" s="80"/>
      <c r="D23" s="243"/>
      <c r="E23" s="226"/>
      <c r="F23" s="89"/>
      <c r="G23" s="81"/>
      <c r="H23" s="228"/>
      <c r="I23" s="229"/>
      <c r="J23" s="261" t="str">
        <f t="shared" si="2"/>
        <v/>
      </c>
      <c r="K23" s="200">
        <v>20</v>
      </c>
      <c r="L23" s="133">
        <f t="shared" si="3"/>
        <v>0</v>
      </c>
      <c r="M23" s="135" t="s">
        <v>5</v>
      </c>
    </row>
    <row r="24" spans="1:13" ht="13.35" customHeight="1">
      <c r="A24" s="50" t="s">
        <v>5</v>
      </c>
      <c r="B24" s="242"/>
      <c r="C24" s="80"/>
      <c r="D24" s="243"/>
      <c r="E24" s="226"/>
      <c r="F24" s="89"/>
      <c r="G24" s="81"/>
      <c r="H24" s="228"/>
      <c r="I24" s="229"/>
      <c r="J24" s="261" t="str">
        <f t="shared" si="2"/>
        <v/>
      </c>
      <c r="K24" s="200">
        <v>21</v>
      </c>
      <c r="L24" s="133">
        <f t="shared" si="3"/>
        <v>0</v>
      </c>
      <c r="M24" s="135" t="s">
        <v>5</v>
      </c>
    </row>
    <row r="25" spans="1:13" ht="13.35" customHeight="1">
      <c r="A25" s="50" t="s">
        <v>5</v>
      </c>
      <c r="B25" s="242"/>
      <c r="C25" s="80"/>
      <c r="D25" s="243"/>
      <c r="E25" s="226"/>
      <c r="F25" s="89"/>
      <c r="G25" s="81"/>
      <c r="H25" s="228"/>
      <c r="I25" s="229"/>
      <c r="J25" s="261" t="str">
        <f t="shared" si="2"/>
        <v/>
      </c>
      <c r="K25" s="200">
        <v>22</v>
      </c>
      <c r="L25" s="133">
        <f t="shared" si="3"/>
        <v>0</v>
      </c>
      <c r="M25" s="135" t="s">
        <v>5</v>
      </c>
    </row>
    <row r="26" spans="1:13" ht="13.35" customHeight="1">
      <c r="A26" s="50" t="s">
        <v>5</v>
      </c>
      <c r="B26" s="242"/>
      <c r="C26" s="80"/>
      <c r="D26" s="243"/>
      <c r="E26" s="226"/>
      <c r="F26" s="89"/>
      <c r="G26" s="81"/>
      <c r="H26" s="228"/>
      <c r="I26" s="229"/>
      <c r="J26" s="261" t="str">
        <f t="shared" si="2"/>
        <v/>
      </c>
      <c r="K26" s="200">
        <v>23</v>
      </c>
      <c r="L26" s="133">
        <f t="shared" si="3"/>
        <v>0</v>
      </c>
      <c r="M26" s="135" t="s">
        <v>5</v>
      </c>
    </row>
    <row r="27" spans="1:13" ht="13.35" customHeight="1">
      <c r="A27" s="50" t="s">
        <v>5</v>
      </c>
      <c r="B27" s="242"/>
      <c r="C27" s="80"/>
      <c r="D27" s="243"/>
      <c r="E27" s="226"/>
      <c r="F27" s="89"/>
      <c r="G27" s="81"/>
      <c r="H27" s="228"/>
      <c r="I27" s="229"/>
      <c r="J27" s="261" t="str">
        <f t="shared" si="2"/>
        <v/>
      </c>
      <c r="K27" s="200">
        <v>24</v>
      </c>
      <c r="L27" s="133">
        <f t="shared" si="3"/>
        <v>0</v>
      </c>
      <c r="M27" s="135" t="s">
        <v>5</v>
      </c>
    </row>
    <row r="28" spans="1:13" ht="13.35" customHeight="1">
      <c r="A28" s="50" t="s">
        <v>5</v>
      </c>
      <c r="B28" s="242"/>
      <c r="C28" s="80"/>
      <c r="D28" s="243"/>
      <c r="E28" s="226"/>
      <c r="F28" s="89"/>
      <c r="G28" s="81"/>
      <c r="H28" s="228"/>
      <c r="I28" s="229"/>
      <c r="J28" s="261" t="str">
        <f t="shared" si="2"/>
        <v/>
      </c>
      <c r="K28" s="200">
        <v>25</v>
      </c>
      <c r="L28" s="133">
        <f t="shared" si="3"/>
        <v>0</v>
      </c>
      <c r="M28" s="135" t="s">
        <v>5</v>
      </c>
    </row>
    <row r="29" spans="1:13" ht="13.35" customHeight="1">
      <c r="A29" s="50" t="s">
        <v>5</v>
      </c>
      <c r="B29" s="242"/>
      <c r="C29" s="80"/>
      <c r="D29" s="243"/>
      <c r="E29" s="226"/>
      <c r="F29" s="89"/>
      <c r="G29" s="81"/>
      <c r="H29" s="228"/>
      <c r="I29" s="229"/>
      <c r="J29" s="261" t="str">
        <f t="shared" si="2"/>
        <v/>
      </c>
      <c r="K29" s="200">
        <v>26</v>
      </c>
      <c r="L29" s="133">
        <f t="shared" si="3"/>
        <v>0</v>
      </c>
      <c r="M29" s="135" t="s">
        <v>5</v>
      </c>
    </row>
    <row r="30" spans="1:13" ht="13.35" customHeight="1">
      <c r="A30" s="50" t="s">
        <v>5</v>
      </c>
      <c r="B30" s="242"/>
      <c r="C30" s="80"/>
      <c r="D30" s="243"/>
      <c r="E30" s="226"/>
      <c r="F30" s="89"/>
      <c r="G30" s="81"/>
      <c r="H30" s="228"/>
      <c r="I30" s="229"/>
      <c r="J30" s="261" t="str">
        <f t="shared" si="2"/>
        <v/>
      </c>
      <c r="K30" s="200">
        <v>27</v>
      </c>
      <c r="L30" s="133">
        <f t="shared" si="3"/>
        <v>0</v>
      </c>
      <c r="M30" s="135" t="s">
        <v>5</v>
      </c>
    </row>
    <row r="31" spans="1:13" ht="13.35" customHeight="1">
      <c r="A31" s="50" t="s">
        <v>5</v>
      </c>
      <c r="B31" s="242"/>
      <c r="C31" s="80"/>
      <c r="D31" s="243"/>
      <c r="E31" s="226"/>
      <c r="F31" s="89"/>
      <c r="G31" s="81"/>
      <c r="H31" s="228"/>
      <c r="I31" s="229"/>
      <c r="J31" s="261" t="str">
        <f t="shared" si="2"/>
        <v/>
      </c>
      <c r="K31" s="200">
        <v>28</v>
      </c>
      <c r="L31" s="133">
        <f t="shared" si="3"/>
        <v>0</v>
      </c>
      <c r="M31" s="135" t="s">
        <v>5</v>
      </c>
    </row>
    <row r="32" spans="1:13" ht="13.35" customHeight="1">
      <c r="A32" s="50" t="s">
        <v>5</v>
      </c>
      <c r="B32" s="242"/>
      <c r="C32" s="80"/>
      <c r="D32" s="243"/>
      <c r="E32" s="226"/>
      <c r="F32" s="89"/>
      <c r="G32" s="81"/>
      <c r="H32" s="228"/>
      <c r="I32" s="229"/>
      <c r="J32" s="261" t="str">
        <f t="shared" si="2"/>
        <v/>
      </c>
      <c r="K32" s="200">
        <v>29</v>
      </c>
      <c r="L32" s="133">
        <f t="shared" si="3"/>
        <v>0</v>
      </c>
      <c r="M32" s="135" t="s">
        <v>5</v>
      </c>
    </row>
    <row r="33" spans="1:13" ht="13.35" customHeight="1">
      <c r="A33" s="50" t="s">
        <v>5</v>
      </c>
      <c r="B33" s="242"/>
      <c r="C33" s="80"/>
      <c r="D33" s="243"/>
      <c r="E33" s="226"/>
      <c r="F33" s="89"/>
      <c r="G33" s="81"/>
      <c r="H33" s="228"/>
      <c r="I33" s="229"/>
      <c r="J33" s="261" t="str">
        <f t="shared" si="2"/>
        <v/>
      </c>
      <c r="K33" s="200">
        <v>30</v>
      </c>
      <c r="L33" s="133">
        <f t="shared" si="3"/>
        <v>0</v>
      </c>
      <c r="M33" s="135" t="s">
        <v>5</v>
      </c>
    </row>
    <row r="34" spans="1:13" ht="13.35" customHeight="1">
      <c r="A34" s="50" t="s">
        <v>5</v>
      </c>
      <c r="B34" s="242"/>
      <c r="C34" s="80"/>
      <c r="D34" s="243"/>
      <c r="E34" s="226"/>
      <c r="F34" s="89"/>
      <c r="G34" s="81"/>
      <c r="H34" s="228"/>
      <c r="I34" s="229"/>
      <c r="J34" s="261" t="str">
        <f t="shared" si="2"/>
        <v/>
      </c>
      <c r="K34" s="200">
        <v>31</v>
      </c>
      <c r="L34" s="133">
        <f t="shared" si="3"/>
        <v>0</v>
      </c>
      <c r="M34" s="135" t="s">
        <v>5</v>
      </c>
    </row>
    <row r="35" spans="1:13" ht="13.35" customHeight="1">
      <c r="A35" s="50" t="s">
        <v>5</v>
      </c>
      <c r="B35" s="242"/>
      <c r="C35" s="80"/>
      <c r="D35" s="243"/>
      <c r="E35" s="226"/>
      <c r="F35" s="89"/>
      <c r="G35" s="81"/>
      <c r="H35" s="228"/>
      <c r="I35" s="229"/>
      <c r="J35" s="261" t="str">
        <f t="shared" si="2"/>
        <v/>
      </c>
      <c r="K35" s="200">
        <v>32</v>
      </c>
      <c r="L35" s="133">
        <f t="shared" si="3"/>
        <v>0</v>
      </c>
      <c r="M35" s="135" t="s">
        <v>5</v>
      </c>
    </row>
    <row r="36" spans="1:13" ht="13.35" customHeight="1">
      <c r="A36" s="50" t="s">
        <v>5</v>
      </c>
      <c r="B36" s="242"/>
      <c r="C36" s="80"/>
      <c r="D36" s="243"/>
      <c r="E36" s="226"/>
      <c r="F36" s="89"/>
      <c r="G36" s="81"/>
      <c r="H36" s="228"/>
      <c r="I36" s="229"/>
      <c r="J36" s="261" t="str">
        <f t="shared" si="2"/>
        <v/>
      </c>
      <c r="K36" s="200">
        <v>33</v>
      </c>
      <c r="L36" s="133">
        <f t="shared" si="3"/>
        <v>0</v>
      </c>
      <c r="M36" s="135" t="s">
        <v>5</v>
      </c>
    </row>
    <row r="37" spans="1:13" ht="13.35" customHeight="1">
      <c r="A37" s="50" t="s">
        <v>5</v>
      </c>
      <c r="B37" s="242"/>
      <c r="C37" s="80"/>
      <c r="D37" s="243"/>
      <c r="E37" s="226"/>
      <c r="F37" s="89"/>
      <c r="G37" s="81"/>
      <c r="H37" s="228"/>
      <c r="I37" s="229"/>
      <c r="J37" s="261" t="str">
        <f t="shared" si="2"/>
        <v/>
      </c>
      <c r="K37" s="200">
        <v>34</v>
      </c>
      <c r="L37" s="133">
        <f t="shared" si="3"/>
        <v>0</v>
      </c>
      <c r="M37" s="135" t="s">
        <v>5</v>
      </c>
    </row>
    <row r="38" spans="1:13" ht="13.35" customHeight="1">
      <c r="A38" s="50" t="s">
        <v>5</v>
      </c>
      <c r="B38" s="242"/>
      <c r="C38" s="80"/>
      <c r="D38" s="243"/>
      <c r="E38" s="226"/>
      <c r="F38" s="89"/>
      <c r="G38" s="81"/>
      <c r="H38" s="228"/>
      <c r="I38" s="229"/>
      <c r="J38" s="261" t="str">
        <f t="shared" si="2"/>
        <v/>
      </c>
      <c r="K38" s="200">
        <v>35</v>
      </c>
      <c r="L38" s="133">
        <f t="shared" si="3"/>
        <v>0</v>
      </c>
      <c r="M38" s="135" t="s">
        <v>5</v>
      </c>
    </row>
    <row r="39" spans="1:13" ht="13.35" customHeight="1">
      <c r="A39" s="50" t="s">
        <v>5</v>
      </c>
      <c r="B39" s="242"/>
      <c r="C39" s="80"/>
      <c r="D39" s="243"/>
      <c r="E39" s="226"/>
      <c r="F39" s="89"/>
      <c r="G39" s="81"/>
      <c r="H39" s="228"/>
      <c r="I39" s="229"/>
      <c r="J39" s="261" t="str">
        <f t="shared" si="2"/>
        <v/>
      </c>
      <c r="K39" s="200">
        <v>36</v>
      </c>
      <c r="L39" s="133">
        <f t="shared" si="3"/>
        <v>0</v>
      </c>
      <c r="M39" s="135" t="s">
        <v>5</v>
      </c>
    </row>
    <row r="40" spans="1:13" ht="13.35" customHeight="1">
      <c r="A40" s="50" t="s">
        <v>5</v>
      </c>
      <c r="B40" s="242"/>
      <c r="C40" s="80"/>
      <c r="D40" s="243"/>
      <c r="E40" s="226"/>
      <c r="F40" s="89"/>
      <c r="G40" s="81"/>
      <c r="H40" s="228"/>
      <c r="I40" s="229"/>
      <c r="J40" s="261" t="str">
        <f t="shared" si="2"/>
        <v/>
      </c>
      <c r="K40" s="200">
        <v>37</v>
      </c>
      <c r="L40" s="133">
        <f t="shared" si="3"/>
        <v>0</v>
      </c>
      <c r="M40" s="135" t="s">
        <v>5</v>
      </c>
    </row>
    <row r="41" spans="1:13" ht="13.35" customHeight="1">
      <c r="A41" s="50" t="s">
        <v>5</v>
      </c>
      <c r="B41" s="242"/>
      <c r="C41" s="80"/>
      <c r="D41" s="243"/>
      <c r="E41" s="226"/>
      <c r="F41" s="89"/>
      <c r="G41" s="81"/>
      <c r="H41" s="228"/>
      <c r="I41" s="229"/>
      <c r="J41" s="261" t="str">
        <f t="shared" si="2"/>
        <v/>
      </c>
      <c r="K41" s="200">
        <v>38</v>
      </c>
      <c r="L41" s="133">
        <f t="shared" si="3"/>
        <v>0</v>
      </c>
      <c r="M41" s="135" t="s">
        <v>5</v>
      </c>
    </row>
    <row r="42" spans="1:13" ht="13.35" customHeight="1">
      <c r="A42" s="50" t="s">
        <v>5</v>
      </c>
      <c r="B42" s="242"/>
      <c r="C42" s="80"/>
      <c r="D42" s="243"/>
      <c r="E42" s="226"/>
      <c r="F42" s="89"/>
      <c r="G42" s="81"/>
      <c r="H42" s="228"/>
      <c r="I42" s="229"/>
      <c r="J42" s="261" t="str">
        <f t="shared" si="2"/>
        <v/>
      </c>
      <c r="K42" s="200">
        <v>39</v>
      </c>
      <c r="L42" s="133">
        <f t="shared" si="3"/>
        <v>0</v>
      </c>
      <c r="M42" s="135" t="s">
        <v>5</v>
      </c>
    </row>
    <row r="43" spans="1:13" ht="13.35" customHeight="1">
      <c r="A43" s="50" t="s">
        <v>5</v>
      </c>
      <c r="B43" s="242"/>
      <c r="C43" s="80"/>
      <c r="D43" s="243"/>
      <c r="E43" s="226"/>
      <c r="F43" s="89"/>
      <c r="G43" s="81"/>
      <c r="H43" s="228"/>
      <c r="I43" s="229"/>
      <c r="J43" s="261" t="str">
        <f t="shared" si="2"/>
        <v/>
      </c>
      <c r="K43" s="200">
        <v>40</v>
      </c>
      <c r="L43" s="133">
        <f t="shared" si="3"/>
        <v>0</v>
      </c>
      <c r="M43" s="135" t="s">
        <v>5</v>
      </c>
    </row>
    <row r="44" spans="1:13" ht="13.35" customHeight="1">
      <c r="A44" s="50" t="s">
        <v>5</v>
      </c>
      <c r="B44" s="242"/>
      <c r="C44" s="80"/>
      <c r="D44" s="243"/>
      <c r="E44" s="226"/>
      <c r="F44" s="89"/>
      <c r="G44" s="81"/>
      <c r="H44" s="228"/>
      <c r="I44" s="229"/>
      <c r="J44" s="261" t="str">
        <f t="shared" si="2"/>
        <v/>
      </c>
      <c r="K44" s="200">
        <v>41</v>
      </c>
      <c r="L44" s="133">
        <f t="shared" si="3"/>
        <v>0</v>
      </c>
      <c r="M44" s="135" t="s">
        <v>5</v>
      </c>
    </row>
    <row r="45" spans="1:13" ht="13.35" customHeight="1">
      <c r="A45" s="50" t="s">
        <v>5</v>
      </c>
      <c r="B45" s="242"/>
      <c r="C45" s="80"/>
      <c r="D45" s="243"/>
      <c r="E45" s="226"/>
      <c r="F45" s="89"/>
      <c r="G45" s="81"/>
      <c r="H45" s="228"/>
      <c r="I45" s="229"/>
      <c r="J45" s="261" t="str">
        <f t="shared" ref="J45:J46" si="6">IF(G45&lt;&gt;0,+G45-I45,"")</f>
        <v/>
      </c>
      <c r="K45" s="200">
        <v>44</v>
      </c>
      <c r="L45" s="133">
        <f t="shared" ref="L45:L46" si="7">IF(B45&lt;$O$2,0,IF(B45&lt;$P$2,1,IF(B45&lt;$Q$2,2,IF(B45&lt;$R$2,3,IF(B45&lt;$S$2,4,IF(B45&lt;$T$2,5,IF(B45&lt;$U$2,6,IF(B45&lt;$V$2,7,IF(B45&lt;$W$2,8,IF(B45&lt;$X$2,9,IF(B45&lt;$Y$2,10,IF(B45&lt;$Z$2,11,IF(B45&lt;=$Z$3,12,0)))))))))))))</f>
        <v>0</v>
      </c>
      <c r="M45" s="135" t="s">
        <v>5</v>
      </c>
    </row>
    <row r="46" spans="1:13" ht="13.35" customHeight="1" thickBot="1">
      <c r="A46" s="50" t="s">
        <v>5</v>
      </c>
      <c r="B46" s="242"/>
      <c r="C46" s="80"/>
      <c r="D46" s="243"/>
      <c r="E46" s="226"/>
      <c r="F46" s="89"/>
      <c r="G46" s="81"/>
      <c r="H46" s="228"/>
      <c r="I46" s="229"/>
      <c r="J46" s="261" t="str">
        <f t="shared" si="6"/>
        <v/>
      </c>
      <c r="K46" s="200">
        <v>45</v>
      </c>
      <c r="L46" s="133">
        <f t="shared" si="7"/>
        <v>0</v>
      </c>
      <c r="M46" s="135" t="s">
        <v>5</v>
      </c>
    </row>
    <row r="47" spans="1:13" ht="12" customHeight="1" thickTop="1" thickBot="1">
      <c r="A47" s="391" t="s">
        <v>283</v>
      </c>
      <c r="B47" s="1244" t="str">
        <f>IF($A$48=0,"^ Zeile einfügen","bis hierher ziehen!")</f>
        <v>^ Zeile einfügen</v>
      </c>
      <c r="C47" s="1244"/>
      <c r="D47" s="392" t="s">
        <v>5</v>
      </c>
      <c r="E47" s="393" t="s">
        <v>5</v>
      </c>
      <c r="F47" s="394" t="s">
        <v>5</v>
      </c>
      <c r="G47" s="394"/>
      <c r="H47" s="395"/>
      <c r="I47" s="396"/>
      <c r="J47" s="425"/>
      <c r="K47" s="201">
        <v>0</v>
      </c>
      <c r="L47" s="185" t="s">
        <v>5</v>
      </c>
      <c r="M47" s="398" t="s">
        <v>283</v>
      </c>
    </row>
    <row r="48" spans="1:13" ht="12" customHeight="1" thickTop="1" thickBot="1">
      <c r="A48" s="390">
        <f>COUNTBLANK(A3:A47)+A49</f>
        <v>0</v>
      </c>
      <c r="B48" s="193" t="str">
        <f>+EÜR!C20</f>
        <v>ü</v>
      </c>
      <c r="C48" s="194" t="s">
        <v>5</v>
      </c>
      <c r="D48" s="194" t="s">
        <v>5</v>
      </c>
      <c r="E48" s="195" t="s">
        <v>5</v>
      </c>
      <c r="F48" s="196" t="s">
        <v>5</v>
      </c>
      <c r="G48" s="197">
        <f>SUBTOTAL(9,G3:G47)</f>
        <v>0</v>
      </c>
      <c r="H48" s="1242">
        <f>SUBTOTAL(9,I3:I47)</f>
        <v>0</v>
      </c>
      <c r="I48" s="1243">
        <f>SUBTOTAL(9,I3:I47)</f>
        <v>0</v>
      </c>
      <c r="J48" s="1284">
        <f>G48-H48</f>
        <v>0</v>
      </c>
      <c r="K48" s="1285"/>
      <c r="L48" s="1286"/>
      <c r="M48" s="135" t="s">
        <v>5</v>
      </c>
    </row>
    <row r="49" spans="1:14" ht="12" customHeight="1" thickTop="1" thickBot="1">
      <c r="A49" s="390">
        <f>IF(ISERROR(J47),1,0)</f>
        <v>0</v>
      </c>
      <c r="B49" s="192">
        <f>J48-G49-E49-C49</f>
        <v>0</v>
      </c>
      <c r="C49" s="1239">
        <f>SUMIF(F4:F47,"Kreditkarte",G4:G47)</f>
        <v>0</v>
      </c>
      <c r="D49" s="1239"/>
      <c r="E49" s="1240">
        <f>SUMIF(F4:F47,"Konto",G4:G47)</f>
        <v>0</v>
      </c>
      <c r="F49" s="1240"/>
      <c r="G49" s="1241">
        <f>SUMIF(F4:F47,"Geldbeutel",G4:G47)</f>
        <v>0</v>
      </c>
      <c r="H49" s="1241"/>
      <c r="I49" s="1241"/>
      <c r="J49" s="1287"/>
      <c r="K49" s="1288"/>
      <c r="L49" s="1289"/>
      <c r="M49" s="135" t="s">
        <v>5</v>
      </c>
    </row>
    <row r="50" spans="1:14" s="15" customFormat="1" ht="5.25" customHeight="1" thickTop="1">
      <c r="A50" s="36"/>
      <c r="B50" s="2"/>
      <c r="C50" s="3"/>
      <c r="D50" s="3"/>
      <c r="E50" s="1"/>
      <c r="G50" s="16"/>
      <c r="H50" s="16"/>
      <c r="I50" s="17"/>
      <c r="J50" s="18"/>
      <c r="K50" s="18"/>
      <c r="L50" s="31"/>
      <c r="N50" s="148"/>
    </row>
    <row r="51" spans="1:14">
      <c r="A51" s="36"/>
    </row>
  </sheetData>
  <sheetProtection formatCells="0" insertRows="0" deleteRows="0" selectLockedCells="1" sort="0" autoFilter="0"/>
  <mergeCells count="12">
    <mergeCell ref="AA9:AB9"/>
    <mergeCell ref="O10:Z10"/>
    <mergeCell ref="O11:Z11"/>
    <mergeCell ref="H48:I48"/>
    <mergeCell ref="C2:I2"/>
    <mergeCell ref="J2:L2"/>
    <mergeCell ref="J48:L49"/>
    <mergeCell ref="C49:D49"/>
    <mergeCell ref="E49:F49"/>
    <mergeCell ref="G49:I49"/>
    <mergeCell ref="AA4:AB4"/>
    <mergeCell ref="B47:C47"/>
  </mergeCells>
  <conditionalFormatting sqref="A4:A46">
    <cfRule type="expression" dxfId="1436" priority="18">
      <formula>ISERROR(J4)</formula>
    </cfRule>
    <cfRule type="cellIs" dxfId="1435" priority="19" operator="equal">
      <formula>""</formula>
    </cfRule>
  </conditionalFormatting>
  <conditionalFormatting sqref="A47:C47">
    <cfRule type="expression" dxfId="1434" priority="3">
      <formula>$A$48&lt;&gt;0</formula>
    </cfRule>
  </conditionalFormatting>
  <conditionalFormatting sqref="B2">
    <cfRule type="expression" dxfId="1433" priority="30" stopIfTrue="1">
      <formula>$B$48="x"</formula>
    </cfRule>
  </conditionalFormatting>
  <conditionalFormatting sqref="B48">
    <cfRule type="cellIs" dxfId="1432" priority="61" operator="equal">
      <formula>"y"</formula>
    </cfRule>
  </conditionalFormatting>
  <conditionalFormatting sqref="B3:J46">
    <cfRule type="expression" dxfId="1431" priority="1">
      <formula>$B$48="x"</formula>
    </cfRule>
  </conditionalFormatting>
  <conditionalFormatting sqref="C49:I49">
    <cfRule type="cellIs" dxfId="1430" priority="58" stopIfTrue="1" operator="greaterThanOrEqual">
      <formula>0</formula>
    </cfRule>
    <cfRule type="cellIs" dxfId="1429" priority="60" stopIfTrue="1" operator="lessThan">
      <formula>0</formula>
    </cfRule>
  </conditionalFormatting>
  <conditionalFormatting sqref="D47:J47">
    <cfRule type="expression" dxfId="1428" priority="5">
      <formula>$A$48&lt;&gt;0</formula>
    </cfRule>
  </conditionalFormatting>
  <conditionalFormatting sqref="J48:L48 C49:L49 C48:H48">
    <cfRule type="expression" dxfId="1426" priority="57">
      <formula>$B$48="x"</formula>
    </cfRule>
  </conditionalFormatting>
  <conditionalFormatting sqref="J48:L49">
    <cfRule type="expression" dxfId="1425" priority="56">
      <formula>AND($B$48="x",$J$48&lt;&gt;0)</formula>
    </cfRule>
  </conditionalFormatting>
  <conditionalFormatting sqref="M3">
    <cfRule type="cellIs" dxfId="1424" priority="27" operator="equal">
      <formula>""</formula>
    </cfRule>
  </conditionalFormatting>
  <conditionalFormatting sqref="M4:M46">
    <cfRule type="expression" dxfId="1423" priority="25">
      <formula>ISERROR(J4)</formula>
    </cfRule>
    <cfRule type="cellIs" dxfId="1422" priority="26" operator="equal">
      <formula>""</formula>
    </cfRule>
  </conditionalFormatting>
  <conditionalFormatting sqref="M47">
    <cfRule type="expression" dxfId="1421" priority="4">
      <formula>$A$48&lt;&gt;0</formula>
    </cfRule>
  </conditionalFormatting>
  <conditionalFormatting sqref="M47:M49">
    <cfRule type="cellIs" dxfId="1420" priority="7" operator="equal">
      <formula>""</formula>
    </cfRule>
  </conditionalFormatting>
  <conditionalFormatting sqref="N10:AB10 O11:AB49">
    <cfRule type="expression" dxfId="1419" priority="28">
      <formula>$N$2=0</formula>
    </cfRule>
  </conditionalFormatting>
  <conditionalFormatting sqref="O11:Z11">
    <cfRule type="cellIs" dxfId="1418" priority="42" operator="equal">
      <formula>"Fehler!"</formula>
    </cfRule>
  </conditionalFormatting>
  <conditionalFormatting sqref="O4:AA4">
    <cfRule type="expression" dxfId="1417" priority="29">
      <formula>$N$2=0</formula>
    </cfRule>
  </conditionalFormatting>
  <conditionalFormatting sqref="O2:AB3">
    <cfRule type="expression" dxfId="1415" priority="2">
      <formula>$N$2=0</formula>
    </cfRule>
  </conditionalFormatting>
  <conditionalFormatting sqref="O5:AB8 O9:AA9">
    <cfRule type="expression" dxfId="1414" priority="41">
      <formula>$N$2=0</formula>
    </cfRule>
  </conditionalFormatting>
  <dataValidations count="3">
    <dataValidation type="list" allowBlank="1" showInputMessage="1" showErrorMessage="1" sqref="F4:F46" xr:uid="{E6A56B7B-00FA-442B-8135-93CFAC5E7FB2}">
      <formula1>"Konto,Geldbeutel,Kreditkarte,x"</formula1>
    </dataValidation>
    <dataValidation type="list" allowBlank="1" showInputMessage="1" showErrorMessage="1" sqref="H4:H46" xr:uid="{9A26009C-15A8-4D6F-9746-7E7B24DD6CBB}">
      <formula1>"19,7,0,~"</formula1>
    </dataValidation>
    <dataValidation type="list" allowBlank="1" showInputMessage="1" showErrorMessage="1" sqref="D4:D46" xr:uid="{9360D6D2-0301-42CA-A597-66A487A2311F}">
      <formula1>"wie Vorjahr,Übernahme,Beginn,Ende"</formula1>
    </dataValidation>
  </dataValidations>
  <hyperlinks>
    <hyperlink ref="J2" location="'2022 EÜR'!A1" display="Menü" xr:uid="{B7FF8299-5BE5-4D6F-AD45-C4A5CF01E8DE}"/>
    <hyperlink ref="J2:L2" location="EÜR!A1" display="EÜR" xr:uid="{8F285024-BED3-4801-885A-F3FE0384C884}"/>
  </hyperlinks>
  <printOptions horizontalCentered="1"/>
  <pageMargins left="0" right="0" top="0" bottom="0.31496062992125984" header="0" footer="0"/>
  <pageSetup paperSize="9" orientation="portrait" r:id="rId1"/>
  <headerFooter>
    <oddFooter>&amp;L&amp;"Arial,Standard"&amp;8Datei: &amp;Z&amp;F/&amp;A&amp;C&amp;"Arial,Standard"&amp;8Seite &amp;P von &amp;N&amp;R&amp;"Arial,Standard"&amp;8Druck: &amp;D&amp;T Uhr</oddFooter>
  </headerFooter>
  <extLst>
    <ext xmlns:x14="http://schemas.microsoft.com/office/spreadsheetml/2009/9/main" uri="{78C0D931-6437-407d-A8EE-F0AAD7539E65}">
      <x14:conditionalFormattings>
        <x14:conditionalFormatting xmlns:xm="http://schemas.microsoft.com/office/excel/2006/main">
          <x14:cfRule type="expression" priority="39" id="{36D279AD-5207-40C8-8444-27C3EEF276F9}">
            <xm:f>AND(EÜR!$J$66&lt;&gt;"ü",$H$48&lt;&gt;0)</xm:f>
            <x14:dxf>
              <font>
                <b/>
                <i val="0"/>
                <color rgb="FFFFFF00"/>
              </font>
              <fill>
                <patternFill>
                  <bgColor rgb="FFFF0000"/>
                </patternFill>
              </fill>
            </x14:dxf>
          </x14:cfRule>
          <xm:sqref>H48:I48</xm:sqref>
        </x14:conditionalFormatting>
        <x14:conditionalFormatting xmlns:xm="http://schemas.microsoft.com/office/excel/2006/main">
          <x14:cfRule type="expression" priority="34" id="{2C29DF41-F480-4C31-806F-E38A8F58007F}">
            <xm:f>EÜR!$J$66="-"</xm:f>
            <x14:dxf>
              <font>
                <b/>
                <i val="0"/>
                <color theme="0"/>
              </font>
              <fill>
                <patternFill>
                  <bgColor theme="0"/>
                </patternFill>
              </fill>
              <border>
                <left/>
                <right/>
                <top/>
                <bottom/>
              </border>
            </x14:dxf>
          </x14:cfRule>
          <xm:sqref>O12:AA14</xm:sqref>
        </x14:conditionalFormatting>
      </x14:conditionalFormatting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6C5E8-0181-4373-8530-8D7A5E5AC8A5}">
  <sheetPr codeName="Tabelle14">
    <tabColor theme="0" tint="-0.34998626667073579"/>
    <pageSetUpPr autoPageBreaks="0"/>
  </sheetPr>
  <dimension ref="A1:AB51"/>
  <sheetViews>
    <sheetView showGridLines="0" showRowColHeaders="0" zoomScaleNormal="100" workbookViewId="0">
      <pane ySplit="3" topLeftCell="A4" activePane="bottomLeft" state="frozen"/>
      <selection activeCell="O2" sqref="O2:Z3"/>
      <selection pane="bottomLeft" activeCell="A4" sqref="A4"/>
    </sheetView>
  </sheetViews>
  <sheetFormatPr baseColWidth="10" defaultColWidth="9.77734375" defaultRowHeight="12.75"/>
  <cols>
    <col min="1" max="1" width="0.77734375" style="12" customWidth="1"/>
    <col min="2" max="2" width="7.6640625" style="30" customWidth="1"/>
    <col min="3" max="3" width="21.6640625" style="24" customWidth="1"/>
    <col min="4" max="4" width="7.6640625" style="24" customWidth="1"/>
    <col min="5" max="5" width="6.6640625" style="25" customWidth="1"/>
    <col min="6" max="6" width="9.6640625" style="26" customWidth="1"/>
    <col min="7" max="7" width="9.6640625" style="27" customWidth="1"/>
    <col min="8" max="8" width="2.6640625" style="28" customWidth="1"/>
    <col min="9" max="9" width="6.6640625" style="29" customWidth="1"/>
    <col min="10" max="10" width="9.6640625" style="27" customWidth="1"/>
    <col min="11" max="11" width="2.5546875" style="27" hidden="1" customWidth="1"/>
    <col min="12" max="12" width="1.5546875" style="32" hidden="1" customWidth="1"/>
    <col min="13" max="13" width="0.77734375" style="13" customWidth="1"/>
    <col min="14" max="14" width="1.77734375" style="147" customWidth="1"/>
    <col min="15" max="26" width="8.77734375" style="13" customWidth="1"/>
    <col min="27" max="27" width="10.33203125" style="13" customWidth="1"/>
    <col min="28" max="28" width="8.33203125" style="13" customWidth="1"/>
    <col min="29" max="16384" width="9.77734375" style="13"/>
  </cols>
  <sheetData>
    <row r="1" spans="1:28" s="37" customFormat="1" ht="3" customHeight="1" thickBot="1">
      <c r="A1" s="36"/>
      <c r="B1" s="53" t="str">
        <f>+B48</f>
        <v>ü</v>
      </c>
      <c r="C1" s="54">
        <f>+C49</f>
        <v>0</v>
      </c>
      <c r="D1" s="54"/>
      <c r="E1" s="53">
        <f>+E49</f>
        <v>0</v>
      </c>
      <c r="F1" s="53"/>
      <c r="G1" s="54">
        <f>+G49</f>
        <v>0</v>
      </c>
      <c r="H1" s="53"/>
      <c r="I1" s="338" t="str">
        <f>+EÜR!J66</f>
        <v>-</v>
      </c>
      <c r="J1" s="54">
        <v>0</v>
      </c>
      <c r="K1" s="198"/>
      <c r="L1" s="56"/>
      <c r="N1" s="190"/>
    </row>
    <row r="2" spans="1:28" ht="23.1" customHeight="1" thickTop="1" thickBot="1">
      <c r="A2" s="36"/>
      <c r="B2" s="224" t="str">
        <f>+EÜR!D21</f>
        <v>O12</v>
      </c>
      <c r="C2" s="1281" t="str">
        <f>+EÜR!F21</f>
        <v>AfA auf bewegliche Wirtschaftsgüter</v>
      </c>
      <c r="D2" s="1282"/>
      <c r="E2" s="1282"/>
      <c r="F2" s="1282"/>
      <c r="G2" s="1282"/>
      <c r="H2" s="1282"/>
      <c r="I2" s="1283"/>
      <c r="J2" s="1227" t="s">
        <v>8</v>
      </c>
      <c r="K2" s="1228"/>
      <c r="L2" s="1229"/>
      <c r="M2" s="134"/>
      <c r="N2" s="190">
        <v>0</v>
      </c>
      <c r="O2" s="188">
        <f>+EOMONTH(EÜR!$I$3,-1)+1</f>
        <v>46023</v>
      </c>
      <c r="P2" s="188">
        <f t="shared" ref="P2:Z2" si="0">+O3+1</f>
        <v>46054</v>
      </c>
      <c r="Q2" s="188">
        <f t="shared" si="0"/>
        <v>46082</v>
      </c>
      <c r="R2" s="188">
        <f t="shared" si="0"/>
        <v>46113</v>
      </c>
      <c r="S2" s="188">
        <f t="shared" si="0"/>
        <v>46143</v>
      </c>
      <c r="T2" s="188">
        <f t="shared" si="0"/>
        <v>46174</v>
      </c>
      <c r="U2" s="188">
        <f t="shared" si="0"/>
        <v>46204</v>
      </c>
      <c r="V2" s="188">
        <f t="shared" si="0"/>
        <v>46235</v>
      </c>
      <c r="W2" s="188">
        <f t="shared" si="0"/>
        <v>46266</v>
      </c>
      <c r="X2" s="188">
        <f t="shared" si="0"/>
        <v>46296</v>
      </c>
      <c r="Y2" s="188">
        <f t="shared" si="0"/>
        <v>46327</v>
      </c>
      <c r="Z2" s="188">
        <f t="shared" si="0"/>
        <v>46357</v>
      </c>
      <c r="AA2" s="48"/>
    </row>
    <row r="3" spans="1:28" ht="14.25" customHeight="1" thickTop="1">
      <c r="A3" s="36" t="s">
        <v>5</v>
      </c>
      <c r="B3" s="58" t="s">
        <v>1</v>
      </c>
      <c r="C3" s="59" t="s">
        <v>6</v>
      </c>
      <c r="D3" s="60"/>
      <c r="E3" s="310" t="s">
        <v>7</v>
      </c>
      <c r="F3" s="61" t="s">
        <v>4</v>
      </c>
      <c r="G3" s="62" t="s">
        <v>31</v>
      </c>
      <c r="H3" s="63" t="s">
        <v>33</v>
      </c>
      <c r="I3" s="64" t="s">
        <v>32</v>
      </c>
      <c r="J3" s="274" t="s">
        <v>181</v>
      </c>
      <c r="K3" s="199">
        <v>0</v>
      </c>
      <c r="L3" s="65" t="s">
        <v>5</v>
      </c>
      <c r="M3" s="135" t="s">
        <v>5</v>
      </c>
      <c r="N3" s="222">
        <f>IF(SUBTOTAL(109,K3:K47)&lt;&gt;SUM(K3:K47),1,0)</f>
        <v>0</v>
      </c>
      <c r="O3" s="189">
        <f>EOMONTH(O2,0)</f>
        <v>46053</v>
      </c>
      <c r="P3" s="189">
        <f t="shared" ref="P3:Z3" si="1">EOMONTH(P2,0)</f>
        <v>46081</v>
      </c>
      <c r="Q3" s="189">
        <f t="shared" si="1"/>
        <v>46112</v>
      </c>
      <c r="R3" s="189">
        <f t="shared" si="1"/>
        <v>46142</v>
      </c>
      <c r="S3" s="189">
        <f t="shared" si="1"/>
        <v>46173</v>
      </c>
      <c r="T3" s="189">
        <f t="shared" si="1"/>
        <v>46203</v>
      </c>
      <c r="U3" s="189">
        <f t="shared" si="1"/>
        <v>46234</v>
      </c>
      <c r="V3" s="189">
        <f t="shared" si="1"/>
        <v>46265</v>
      </c>
      <c r="W3" s="189">
        <f t="shared" si="1"/>
        <v>46295</v>
      </c>
      <c r="X3" s="189">
        <f t="shared" si="1"/>
        <v>46326</v>
      </c>
      <c r="Y3" s="189">
        <f t="shared" si="1"/>
        <v>46356</v>
      </c>
      <c r="Z3" s="189">
        <f t="shared" si="1"/>
        <v>46387</v>
      </c>
      <c r="AB3" s="14"/>
    </row>
    <row r="4" spans="1:28" ht="13.35" customHeight="1">
      <c r="A4" s="50" t="s">
        <v>5</v>
      </c>
      <c r="B4" s="242"/>
      <c r="C4" s="80" t="s">
        <v>270</v>
      </c>
      <c r="D4" s="243" t="s">
        <v>458</v>
      </c>
      <c r="E4" s="226" t="s">
        <v>169</v>
      </c>
      <c r="F4" s="385" t="s">
        <v>168</v>
      </c>
      <c r="G4" s="892">
        <v>-1000</v>
      </c>
      <c r="H4" s="228"/>
      <c r="I4" s="229"/>
      <c r="J4" s="261">
        <f t="shared" ref="J4:J44" si="2">IF(G4&lt;&gt;0,+G4-I4,"")</f>
        <v>-1000</v>
      </c>
      <c r="K4" s="200">
        <v>1</v>
      </c>
      <c r="L4" s="133">
        <f>IF(B4&lt;$O$2,0,IF(B4&lt;$P$2,1,IF(B4&lt;$Q$2,2,IF(B4&lt;$R$2,3,IF(B4&lt;$S$2,4,IF(B4&lt;$T$2,5,IF(B4&lt;$U$2,6,IF(B4&lt;$V$2,7,IF(B4&lt;$W$2,8,IF(B4&lt;$X$2,9,IF(B4&lt;$Y$2,10,IF(B4&lt;$Z$2,11,IF(B4&lt;=$Z$3,12,0)))))))))))))</f>
        <v>0</v>
      </c>
      <c r="M4" s="135" t="s">
        <v>5</v>
      </c>
      <c r="N4" s="190">
        <v>0</v>
      </c>
      <c r="O4" s="251" t="s">
        <v>36</v>
      </c>
      <c r="P4" s="251" t="s">
        <v>37</v>
      </c>
      <c r="Q4" s="251" t="s">
        <v>38</v>
      </c>
      <c r="R4" s="251" t="s">
        <v>39</v>
      </c>
      <c r="S4" s="251" t="s">
        <v>40</v>
      </c>
      <c r="T4" s="251" t="s">
        <v>41</v>
      </c>
      <c r="U4" s="251" t="s">
        <v>42</v>
      </c>
      <c r="V4" s="251" t="s">
        <v>43</v>
      </c>
      <c r="W4" s="251" t="s">
        <v>44</v>
      </c>
      <c r="X4" s="251" t="s">
        <v>45</v>
      </c>
      <c r="Y4" s="251" t="s">
        <v>46</v>
      </c>
      <c r="Z4" s="251" t="s">
        <v>47</v>
      </c>
      <c r="AA4" s="1209" t="s">
        <v>255</v>
      </c>
      <c r="AB4" s="1210"/>
    </row>
    <row r="5" spans="1:28" ht="13.35" customHeight="1">
      <c r="A5" s="50" t="s">
        <v>5</v>
      </c>
      <c r="B5" s="242"/>
      <c r="C5" s="80"/>
      <c r="D5" s="243"/>
      <c r="E5" s="226"/>
      <c r="F5" s="89"/>
      <c r="G5" s="81"/>
      <c r="H5" s="228"/>
      <c r="I5" s="229"/>
      <c r="J5" s="261" t="str">
        <f t="shared" si="2"/>
        <v/>
      </c>
      <c r="K5" s="200">
        <v>2</v>
      </c>
      <c r="L5" s="133">
        <f t="shared" ref="L5:L44" si="3">IF(B5&lt;$O$2,0,IF(B5&lt;$P$2,1,IF(B5&lt;$Q$2,2,IF(B5&lt;$R$2,3,IF(B5&lt;$S$2,4,IF(B5&lt;$T$2,5,IF(B5&lt;$U$2,6,IF(B5&lt;$V$2,7,IF(B5&lt;$W$2,8,IF(B5&lt;$X$2,9,IF(B5&lt;$Y$2,10,IF(B5&lt;$Z$2,11,IF(B5&lt;=$Z$3,12,0)))))))))))))</f>
        <v>0</v>
      </c>
      <c r="M5" s="135" t="s">
        <v>5</v>
      </c>
      <c r="O5" s="252">
        <f>SUMIFS($G$3:$G$47,$L$3:$L$47,1,$F$3:$F$47,"Konto")</f>
        <v>0</v>
      </c>
      <c r="P5" s="252">
        <f>SUMIFS($G$3:$G$47,$L$3:$L$47,2,$F$3:$F$47,"Konto")</f>
        <v>0</v>
      </c>
      <c r="Q5" s="252">
        <f>SUMIFS($G$3:$G$47,$L$3:$L$47,3,$F$3:$F$47,"Konto")</f>
        <v>0</v>
      </c>
      <c r="R5" s="252">
        <f>SUMIFS($G$3:$G$47,$L$3:$L$47,4,$F$3:$F$47,"Konto")</f>
        <v>0</v>
      </c>
      <c r="S5" s="252">
        <f>SUMIFS($G$3:$G$47,$L$3:$L$47,5,$F$3:$F$47,"Konto")</f>
        <v>0</v>
      </c>
      <c r="T5" s="252">
        <f>SUMIFS($G$3:$G$47,$L$3:$L$47,6,$F$3:$F$47,"Konto")</f>
        <v>0</v>
      </c>
      <c r="U5" s="252">
        <f>SUMIFS($G$3:$G$47,$L$3:$L$47,7,$F$3:$F$47,"Konto")</f>
        <v>0</v>
      </c>
      <c r="V5" s="252">
        <f>SUMIFS($G$3:$G$47,$L$3:$L$47,8,$F$3:$F$47,"Konto")</f>
        <v>0</v>
      </c>
      <c r="W5" s="252">
        <f>SUMIFS($G$3:$G$47,$L$3:$L$47,9,$F$3:$F$47,"Konto")</f>
        <v>0</v>
      </c>
      <c r="X5" s="252">
        <f>SUMIFS($G$3:$G$47,$L$3:$L$47,10,$F$3:$F$47,"Konto")</f>
        <v>0</v>
      </c>
      <c r="Y5" s="252">
        <f>SUMIFS($G$3:$G$47,$L$3:$L$47,11,$F$3:$F$47,"Konto")</f>
        <v>0</v>
      </c>
      <c r="Z5" s="252">
        <f>SUMIFS($G$3:$G$47,$L$3:$L$47,12,$F$3:$F$47,"Konto")</f>
        <v>0</v>
      </c>
      <c r="AA5" s="253">
        <f>SUM(O5:Z5)</f>
        <v>0</v>
      </c>
      <c r="AB5" s="254" t="s">
        <v>140</v>
      </c>
    </row>
    <row r="6" spans="1:28" ht="13.35" customHeight="1">
      <c r="A6" s="50" t="s">
        <v>5</v>
      </c>
      <c r="B6" s="242"/>
      <c r="C6" s="80"/>
      <c r="D6" s="243"/>
      <c r="E6" s="226"/>
      <c r="F6" s="89"/>
      <c r="G6" s="81"/>
      <c r="H6" s="228"/>
      <c r="I6" s="229"/>
      <c r="J6" s="261" t="str">
        <f t="shared" si="2"/>
        <v/>
      </c>
      <c r="K6" s="200">
        <v>3</v>
      </c>
      <c r="L6" s="133">
        <f t="shared" si="3"/>
        <v>0</v>
      </c>
      <c r="M6" s="135" t="s">
        <v>5</v>
      </c>
      <c r="N6" s="190"/>
      <c r="O6" s="252">
        <f>SUMIFS($G$3:$G$47,$L$3:$L$47,1,$F$3:$F$47,"Kreditkarte")</f>
        <v>0</v>
      </c>
      <c r="P6" s="252">
        <f>SUMIFS($G$3:$G$47,$L$3:$L$47,2,$F$3:$F$47,"Kreditkarte")</f>
        <v>0</v>
      </c>
      <c r="Q6" s="252">
        <f>SUMIFS($G$3:$G$47,$L$3:$L$47,3,$F$3:$F$47,"Kreditkarte")</f>
        <v>0</v>
      </c>
      <c r="R6" s="252">
        <f>SUMIFS($G$3:$G$47,$L$3:$L$47,4,$F$3:$F$47,"Kreditkarte")</f>
        <v>0</v>
      </c>
      <c r="S6" s="252">
        <f>SUMIFS($G$3:$G$47,$L$3:$L$47,5,$F$3:$F$47,"Kreditkarte")</f>
        <v>0</v>
      </c>
      <c r="T6" s="252">
        <f>SUMIFS($G$3:$G$47,$L$3:$L$47,6,$F$3:$F$47,"Kreditkarte")</f>
        <v>0</v>
      </c>
      <c r="U6" s="252">
        <f>SUMIFS($G$3:$G$47,$L$3:$L$47,7,$F$3:$F$47,"Kreditkarte")</f>
        <v>0</v>
      </c>
      <c r="V6" s="252">
        <f>SUMIFS($G$3:$G$47,$L$3:$L$47,8,$F$3:$F$47,"Kreditkarte")</f>
        <v>0</v>
      </c>
      <c r="W6" s="252">
        <f>SUMIFS($G$3:$G$47,$L$3:$L$47,9,$F$3:$F$47,"Kreditkarte")</f>
        <v>0</v>
      </c>
      <c r="X6" s="252">
        <f>SUMIFS($G$3:$G$47,$L$3:$L$47,10,$F$3:$F$47,"Kreditkarte")</f>
        <v>0</v>
      </c>
      <c r="Y6" s="252">
        <f>SUMIFS($G$3:$G$47,$L$3:$L$47,11,$F$3:$F$47,"Kreditkarte")</f>
        <v>0</v>
      </c>
      <c r="Z6" s="252">
        <f>SUMIFS($G$3:$G$47,$L$3:$L$47,12,$F$3:$F$47,"Kreditkarte")</f>
        <v>0</v>
      </c>
      <c r="AA6" s="255">
        <f t="shared" ref="AA6:AA8" si="4">SUM(O6:Z6)</f>
        <v>0</v>
      </c>
      <c r="AB6" s="256" t="s">
        <v>142</v>
      </c>
    </row>
    <row r="7" spans="1:28" ht="13.35" customHeight="1">
      <c r="A7" s="50" t="s">
        <v>5</v>
      </c>
      <c r="B7" s="242"/>
      <c r="C7" s="80"/>
      <c r="D7" s="243"/>
      <c r="E7" s="226"/>
      <c r="F7" s="89"/>
      <c r="G7" s="81"/>
      <c r="H7" s="228"/>
      <c r="I7" s="229"/>
      <c r="J7" s="261" t="str">
        <f t="shared" si="2"/>
        <v/>
      </c>
      <c r="K7" s="200">
        <v>4</v>
      </c>
      <c r="L7" s="133">
        <f t="shared" si="3"/>
        <v>0</v>
      </c>
      <c r="M7" s="135" t="s">
        <v>5</v>
      </c>
      <c r="O7" s="252">
        <f>SUMIFS($G$3:$G$47,$L$3:$L$47,1,$F$3:$F$47,"Geldbeutel")</f>
        <v>0</v>
      </c>
      <c r="P7" s="252">
        <f>SUMIFS($G$3:$G$47,$L$3:$L$47,2,$F$3:$F$47,"Geldbeutel")</f>
        <v>0</v>
      </c>
      <c r="Q7" s="252">
        <f>SUMIFS($G$3:$G$47,$L$3:$L$47,3,$F$3:$F$47,"Geldbeutel")</f>
        <v>0</v>
      </c>
      <c r="R7" s="252">
        <f>SUMIFS($G$3:$G$47,$L$3:$L$47,4,$F$3:$F$47,"Geldbeutel")</f>
        <v>0</v>
      </c>
      <c r="S7" s="252">
        <f>SUMIFS($G$3:$G$47,$L$3:$L$47,5,$F$3:$F$47,"Geldbeutel")</f>
        <v>0</v>
      </c>
      <c r="T7" s="252">
        <f>SUMIFS($G$3:$G$47,$L$3:$L$47,6,$F$3:$F$47,"Geldbeutel")</f>
        <v>0</v>
      </c>
      <c r="U7" s="252">
        <f>SUMIFS($G$3:$G$47,$L$3:$L$47,7,$F$3:$F$47,"Geldbeutel")</f>
        <v>0</v>
      </c>
      <c r="V7" s="252">
        <f>SUMIFS($G$3:$G$47,$L$3:$L$47,8,$F$3:$F$47,"Geldbeutel")</f>
        <v>0</v>
      </c>
      <c r="W7" s="252">
        <f>SUMIFS($G$3:$G$47,$L$3:$L$47,9,$F$3:$F$47,"Geldbeutel")</f>
        <v>0</v>
      </c>
      <c r="X7" s="252">
        <f>SUMIFS($G$3:$G$47,$L$3:$L$47,10,$F$3:$F$47,"Geldbeutel")</f>
        <v>0</v>
      </c>
      <c r="Y7" s="252">
        <f>SUMIFS($G$3:$G$47,$L$3:$L$47,11,$F$3:$F$47,"Geldbeutel")</f>
        <v>0</v>
      </c>
      <c r="Z7" s="252">
        <f>SUMIFS($G$3:$G$47,$L$3:$L$47,12,$F$3:$F$47,"Geldbeutel")</f>
        <v>0</v>
      </c>
      <c r="AA7" s="253">
        <f t="shared" si="4"/>
        <v>0</v>
      </c>
      <c r="AB7" s="254" t="s">
        <v>139</v>
      </c>
    </row>
    <row r="8" spans="1:28" ht="13.35" customHeight="1">
      <c r="A8" s="50" t="s">
        <v>5</v>
      </c>
      <c r="B8" s="242"/>
      <c r="C8" s="80"/>
      <c r="D8" s="243"/>
      <c r="E8" s="226"/>
      <c r="F8" s="89"/>
      <c r="G8" s="81"/>
      <c r="H8" s="228"/>
      <c r="I8" s="229"/>
      <c r="J8" s="261" t="str">
        <f t="shared" si="2"/>
        <v/>
      </c>
      <c r="K8" s="200">
        <v>5</v>
      </c>
      <c r="L8" s="133">
        <f t="shared" si="3"/>
        <v>0</v>
      </c>
      <c r="M8" s="135" t="s">
        <v>5</v>
      </c>
      <c r="O8" s="252">
        <f>SUMIFS($G$3:$G$47,$L$3:$L$47,1,$F$3:$F$47,"X")</f>
        <v>0</v>
      </c>
      <c r="P8" s="252">
        <f>SUMIFS($G$3:$G$47,$L$3:$L$47,2,$F$3:$F$47,"X")</f>
        <v>0</v>
      </c>
      <c r="Q8" s="252">
        <f>SUMIFS($G$3:$G$47,$L$3:$L$47,3,$F$3:$F$47,"X")</f>
        <v>0</v>
      </c>
      <c r="R8" s="252">
        <f>SUMIFS($G$3:$G$47,$L$3:$L$47,4,$F$3:$F$47,"X")</f>
        <v>0</v>
      </c>
      <c r="S8" s="252">
        <f>SUMIFS($G$3:$G$47,$L$3:$L$47,5,$F$3:$F$47,"X")</f>
        <v>0</v>
      </c>
      <c r="T8" s="252">
        <f>SUMIFS($G$3:$G$47,$L$3:$L$47,6,$F$3:$F$47,"X")</f>
        <v>0</v>
      </c>
      <c r="U8" s="252">
        <f>SUMIFS($G$3:$G$47,$L$3:$L$47,7,$F$3:$F$47,"X")</f>
        <v>0</v>
      </c>
      <c r="V8" s="252">
        <f>SUMIFS($G$3:$G$47,$L$3:$L$47,8,$F$3:$F$47,"X")</f>
        <v>0</v>
      </c>
      <c r="W8" s="252">
        <f>SUMIFS($G$3:$G$47,$L$3:$L$47,9,$F$3:$F$47,"X")</f>
        <v>0</v>
      </c>
      <c r="X8" s="252">
        <f>SUMIFS($G$3:$G$47,$L$3:$L$47,10,$F$3:$F$47,"X")</f>
        <v>0</v>
      </c>
      <c r="Y8" s="252">
        <f>SUMIFS($G$3:$G$47,$L$3:$L$47,11,$F$3:$F$47,"X")</f>
        <v>0</v>
      </c>
      <c r="Z8" s="252">
        <f>SUMIFS($G$3:$G$47,$L$3:$L$47,12,$F$3:$F$47,"X")</f>
        <v>0</v>
      </c>
      <c r="AA8" s="255">
        <f t="shared" si="4"/>
        <v>0</v>
      </c>
      <c r="AB8" s="256" t="s">
        <v>192</v>
      </c>
    </row>
    <row r="9" spans="1:28" ht="13.35" customHeight="1">
      <c r="A9" s="50" t="s">
        <v>5</v>
      </c>
      <c r="B9" s="242"/>
      <c r="C9" s="80"/>
      <c r="D9" s="243"/>
      <c r="E9" s="226"/>
      <c r="F9" s="89"/>
      <c r="G9" s="81"/>
      <c r="H9" s="228"/>
      <c r="I9" s="229"/>
      <c r="J9" s="261" t="str">
        <f t="shared" si="2"/>
        <v/>
      </c>
      <c r="K9" s="200">
        <v>6</v>
      </c>
      <c r="L9" s="133">
        <f t="shared" si="3"/>
        <v>0</v>
      </c>
      <c r="M9" s="135" t="s">
        <v>5</v>
      </c>
      <c r="N9" s="191">
        <f>IF(OR(AND(AA14&lt;&gt;0,B48="x"),(O14+AA13)&lt;&gt;H48),1,0)</f>
        <v>0</v>
      </c>
      <c r="O9" s="257">
        <f>SUM(O5:O8)</f>
        <v>0</v>
      </c>
      <c r="P9" s="257">
        <f t="shared" ref="P9:Z9" si="5">SUM(P5:P8)</f>
        <v>0</v>
      </c>
      <c r="Q9" s="257">
        <f t="shared" si="5"/>
        <v>0</v>
      </c>
      <c r="R9" s="257">
        <f t="shared" si="5"/>
        <v>0</v>
      </c>
      <c r="S9" s="257">
        <f t="shared" si="5"/>
        <v>0</v>
      </c>
      <c r="T9" s="257">
        <f t="shared" si="5"/>
        <v>0</v>
      </c>
      <c r="U9" s="257">
        <f t="shared" si="5"/>
        <v>0</v>
      </c>
      <c r="V9" s="257">
        <f t="shared" si="5"/>
        <v>0</v>
      </c>
      <c r="W9" s="257">
        <f t="shared" si="5"/>
        <v>0</v>
      </c>
      <c r="X9" s="257">
        <f t="shared" si="5"/>
        <v>0</v>
      </c>
      <c r="Y9" s="257">
        <f t="shared" si="5"/>
        <v>0</v>
      </c>
      <c r="Z9" s="257">
        <f t="shared" si="5"/>
        <v>0</v>
      </c>
      <c r="AA9" s="1211" t="s">
        <v>197</v>
      </c>
      <c r="AB9" s="1212"/>
    </row>
    <row r="10" spans="1:28" ht="13.35" customHeight="1">
      <c r="A10" s="50" t="s">
        <v>5</v>
      </c>
      <c r="B10" s="242"/>
      <c r="C10" s="80"/>
      <c r="D10" s="243"/>
      <c r="E10" s="226"/>
      <c r="F10" s="89"/>
      <c r="G10" s="81"/>
      <c r="H10" s="228"/>
      <c r="I10" s="229"/>
      <c r="J10" s="261" t="str">
        <f t="shared" si="2"/>
        <v/>
      </c>
      <c r="K10" s="200">
        <v>7</v>
      </c>
      <c r="L10" s="133">
        <f t="shared" si="3"/>
        <v>0</v>
      </c>
      <c r="M10" s="135" t="s">
        <v>5</v>
      </c>
      <c r="N10" s="259">
        <f>IF(O10+AA10&lt;&gt;G48,1,0)</f>
        <v>1</v>
      </c>
      <c r="O10" s="1259">
        <f>SUM(O5:Z8)</f>
        <v>0</v>
      </c>
      <c r="P10" s="1260"/>
      <c r="Q10" s="1260"/>
      <c r="R10" s="1260"/>
      <c r="S10" s="1260"/>
      <c r="T10" s="1260"/>
      <c r="U10" s="1260"/>
      <c r="V10" s="1260"/>
      <c r="W10" s="1260"/>
      <c r="X10" s="1260"/>
      <c r="Y10" s="1260"/>
      <c r="Z10" s="1261"/>
      <c r="AA10" s="292"/>
      <c r="AB10" s="313" t="s">
        <v>257</v>
      </c>
    </row>
    <row r="11" spans="1:28" ht="13.35" customHeight="1">
      <c r="A11" s="50" t="s">
        <v>5</v>
      </c>
      <c r="B11" s="242"/>
      <c r="C11" s="80"/>
      <c r="D11" s="243"/>
      <c r="E11" s="226"/>
      <c r="F11" s="89"/>
      <c r="G11" s="81"/>
      <c r="H11" s="228"/>
      <c r="I11" s="229"/>
      <c r="J11" s="261" t="str">
        <f t="shared" si="2"/>
        <v/>
      </c>
      <c r="K11" s="200">
        <v>8</v>
      </c>
      <c r="L11" s="133">
        <f t="shared" si="3"/>
        <v>0</v>
      </c>
      <c r="M11" s="135" t="s">
        <v>5</v>
      </c>
      <c r="O11" s="1248" t="str">
        <f>IF(N4&gt;0,"Fehler!","")</f>
        <v/>
      </c>
      <c r="P11" s="1248"/>
      <c r="Q11" s="1248"/>
      <c r="R11" s="1248"/>
      <c r="S11" s="1248"/>
      <c r="T11" s="1248"/>
      <c r="U11" s="1248"/>
      <c r="V11" s="1248"/>
      <c r="W11" s="1248"/>
      <c r="X11" s="1248"/>
      <c r="Y11" s="1248"/>
      <c r="Z11" s="1248"/>
    </row>
    <row r="12" spans="1:28" ht="13.35" customHeight="1">
      <c r="A12" s="50" t="s">
        <v>5</v>
      </c>
      <c r="B12" s="242"/>
      <c r="C12" s="80"/>
      <c r="D12" s="243"/>
      <c r="E12" s="226"/>
      <c r="F12" s="89"/>
      <c r="G12" s="81"/>
      <c r="H12" s="228"/>
      <c r="I12" s="229"/>
      <c r="J12" s="261" t="str">
        <f t="shared" si="2"/>
        <v/>
      </c>
      <c r="K12" s="200">
        <v>9</v>
      </c>
      <c r="L12" s="133">
        <f t="shared" si="3"/>
        <v>0</v>
      </c>
      <c r="M12" s="135" t="s">
        <v>5</v>
      </c>
      <c r="AA12" s="38">
        <f>IF(O14+AA13&lt;&gt;H48,1,0)</f>
        <v>0</v>
      </c>
    </row>
    <row r="13" spans="1:28" ht="13.35" customHeight="1">
      <c r="A13" s="50" t="s">
        <v>5</v>
      </c>
      <c r="B13" s="242"/>
      <c r="C13" s="80"/>
      <c r="D13" s="243"/>
      <c r="E13" s="226"/>
      <c r="F13" s="89"/>
      <c r="G13" s="81"/>
      <c r="H13" s="228"/>
      <c r="I13" s="229"/>
      <c r="J13" s="261" t="str">
        <f t="shared" si="2"/>
        <v/>
      </c>
      <c r="K13" s="200">
        <v>10</v>
      </c>
      <c r="L13" s="133">
        <f t="shared" si="3"/>
        <v>0</v>
      </c>
      <c r="M13" s="135" t="s">
        <v>5</v>
      </c>
    </row>
    <row r="14" spans="1:28" ht="13.35" customHeight="1">
      <c r="A14" s="50" t="s">
        <v>5</v>
      </c>
      <c r="B14" s="242"/>
      <c r="C14" s="80"/>
      <c r="D14" s="243"/>
      <c r="E14" s="226"/>
      <c r="F14" s="89"/>
      <c r="G14" s="81"/>
      <c r="H14" s="228"/>
      <c r="I14" s="229"/>
      <c r="J14" s="261" t="str">
        <f t="shared" si="2"/>
        <v/>
      </c>
      <c r="K14" s="200">
        <v>11</v>
      </c>
      <c r="L14" s="133">
        <f t="shared" si="3"/>
        <v>0</v>
      </c>
      <c r="M14" s="135" t="s">
        <v>5</v>
      </c>
    </row>
    <row r="15" spans="1:28" ht="13.35" customHeight="1">
      <c r="A15" s="50" t="s">
        <v>5</v>
      </c>
      <c r="B15" s="242"/>
      <c r="C15" s="260"/>
      <c r="D15" s="243"/>
      <c r="E15" s="226"/>
      <c r="F15" s="89"/>
      <c r="G15" s="81"/>
      <c r="H15" s="228"/>
      <c r="I15" s="229"/>
      <c r="J15" s="261" t="str">
        <f t="shared" si="2"/>
        <v/>
      </c>
      <c r="K15" s="200">
        <v>12</v>
      </c>
      <c r="L15" s="133">
        <f t="shared" si="3"/>
        <v>0</v>
      </c>
      <c r="M15" s="135" t="s">
        <v>5</v>
      </c>
    </row>
    <row r="16" spans="1:28" ht="13.35" customHeight="1">
      <c r="A16" s="50" t="s">
        <v>5</v>
      </c>
      <c r="B16" s="242"/>
      <c r="C16" s="80"/>
      <c r="D16" s="243"/>
      <c r="E16" s="226"/>
      <c r="F16" s="89"/>
      <c r="G16" s="81"/>
      <c r="H16" s="228"/>
      <c r="I16" s="229"/>
      <c r="J16" s="261" t="str">
        <f t="shared" si="2"/>
        <v/>
      </c>
      <c r="K16" s="200">
        <v>13</v>
      </c>
      <c r="L16" s="133">
        <f t="shared" si="3"/>
        <v>0</v>
      </c>
      <c r="M16" s="135" t="s">
        <v>5</v>
      </c>
    </row>
    <row r="17" spans="1:13" ht="13.35" customHeight="1">
      <c r="A17" s="50" t="s">
        <v>5</v>
      </c>
      <c r="B17" s="242"/>
      <c r="C17" s="80"/>
      <c r="D17" s="243"/>
      <c r="E17" s="226"/>
      <c r="F17" s="89"/>
      <c r="G17" s="81"/>
      <c r="H17" s="228"/>
      <c r="I17" s="229"/>
      <c r="J17" s="261" t="str">
        <f t="shared" si="2"/>
        <v/>
      </c>
      <c r="K17" s="200">
        <v>14</v>
      </c>
      <c r="L17" s="133">
        <f t="shared" si="3"/>
        <v>0</v>
      </c>
      <c r="M17" s="135" t="s">
        <v>5</v>
      </c>
    </row>
    <row r="18" spans="1:13" ht="13.35" customHeight="1">
      <c r="A18" s="50" t="s">
        <v>5</v>
      </c>
      <c r="B18" s="242"/>
      <c r="C18" s="80"/>
      <c r="D18" s="243"/>
      <c r="E18" s="226"/>
      <c r="F18" s="89"/>
      <c r="G18" s="81"/>
      <c r="H18" s="228"/>
      <c r="I18" s="229"/>
      <c r="J18" s="261" t="str">
        <f t="shared" si="2"/>
        <v/>
      </c>
      <c r="K18" s="200">
        <v>15</v>
      </c>
      <c r="L18" s="133">
        <f t="shared" si="3"/>
        <v>0</v>
      </c>
      <c r="M18" s="135" t="s">
        <v>5</v>
      </c>
    </row>
    <row r="19" spans="1:13" ht="13.35" customHeight="1">
      <c r="A19" s="50" t="s">
        <v>5</v>
      </c>
      <c r="B19" s="242"/>
      <c r="C19" s="80"/>
      <c r="D19" s="243"/>
      <c r="E19" s="226"/>
      <c r="F19" s="89"/>
      <c r="G19" s="81"/>
      <c r="H19" s="228"/>
      <c r="I19" s="229"/>
      <c r="J19" s="261" t="str">
        <f t="shared" si="2"/>
        <v/>
      </c>
      <c r="K19" s="200">
        <v>16</v>
      </c>
      <c r="L19" s="133">
        <f t="shared" si="3"/>
        <v>0</v>
      </c>
      <c r="M19" s="135" t="s">
        <v>5</v>
      </c>
    </row>
    <row r="20" spans="1:13" ht="13.35" customHeight="1">
      <c r="A20" s="50" t="s">
        <v>5</v>
      </c>
      <c r="B20" s="242"/>
      <c r="C20" s="80"/>
      <c r="D20" s="243"/>
      <c r="E20" s="226"/>
      <c r="F20" s="89"/>
      <c r="G20" s="81"/>
      <c r="H20" s="228"/>
      <c r="I20" s="229"/>
      <c r="J20" s="261" t="str">
        <f t="shared" si="2"/>
        <v/>
      </c>
      <c r="K20" s="200">
        <v>17</v>
      </c>
      <c r="L20" s="133">
        <f t="shared" si="3"/>
        <v>0</v>
      </c>
      <c r="M20" s="135" t="s">
        <v>5</v>
      </c>
    </row>
    <row r="21" spans="1:13" ht="13.35" customHeight="1">
      <c r="A21" s="50" t="s">
        <v>5</v>
      </c>
      <c r="B21" s="242"/>
      <c r="C21" s="80"/>
      <c r="D21" s="243"/>
      <c r="E21" s="226"/>
      <c r="F21" s="89"/>
      <c r="G21" s="81"/>
      <c r="H21" s="228"/>
      <c r="I21" s="229"/>
      <c r="J21" s="261" t="str">
        <f t="shared" si="2"/>
        <v/>
      </c>
      <c r="K21" s="200">
        <v>18</v>
      </c>
      <c r="L21" s="133">
        <f t="shared" si="3"/>
        <v>0</v>
      </c>
      <c r="M21" s="135" t="s">
        <v>5</v>
      </c>
    </row>
    <row r="22" spans="1:13" ht="13.35" customHeight="1">
      <c r="A22" s="50" t="s">
        <v>5</v>
      </c>
      <c r="B22" s="242"/>
      <c r="C22" s="80"/>
      <c r="D22" s="243"/>
      <c r="E22" s="226"/>
      <c r="F22" s="89"/>
      <c r="G22" s="81"/>
      <c r="H22" s="228"/>
      <c r="I22" s="229"/>
      <c r="J22" s="261" t="str">
        <f t="shared" si="2"/>
        <v/>
      </c>
      <c r="K22" s="200">
        <v>19</v>
      </c>
      <c r="L22" s="133">
        <f t="shared" si="3"/>
        <v>0</v>
      </c>
      <c r="M22" s="135" t="s">
        <v>5</v>
      </c>
    </row>
    <row r="23" spans="1:13" ht="13.35" customHeight="1">
      <c r="A23" s="50" t="s">
        <v>5</v>
      </c>
      <c r="B23" s="242"/>
      <c r="C23" s="80"/>
      <c r="D23" s="243"/>
      <c r="E23" s="226"/>
      <c r="F23" s="89"/>
      <c r="G23" s="81"/>
      <c r="H23" s="228"/>
      <c r="I23" s="229"/>
      <c r="J23" s="261" t="str">
        <f t="shared" si="2"/>
        <v/>
      </c>
      <c r="K23" s="200">
        <v>20</v>
      </c>
      <c r="L23" s="133">
        <f t="shared" si="3"/>
        <v>0</v>
      </c>
      <c r="M23" s="135" t="s">
        <v>5</v>
      </c>
    </row>
    <row r="24" spans="1:13" ht="13.35" customHeight="1">
      <c r="A24" s="50" t="s">
        <v>5</v>
      </c>
      <c r="B24" s="242"/>
      <c r="C24" s="80"/>
      <c r="D24" s="243"/>
      <c r="E24" s="226"/>
      <c r="F24" s="89"/>
      <c r="G24" s="81"/>
      <c r="H24" s="228"/>
      <c r="I24" s="229"/>
      <c r="J24" s="261" t="str">
        <f t="shared" si="2"/>
        <v/>
      </c>
      <c r="K24" s="200">
        <v>21</v>
      </c>
      <c r="L24" s="133">
        <f t="shared" si="3"/>
        <v>0</v>
      </c>
      <c r="M24" s="135" t="s">
        <v>5</v>
      </c>
    </row>
    <row r="25" spans="1:13" ht="13.35" customHeight="1">
      <c r="A25" s="50" t="s">
        <v>5</v>
      </c>
      <c r="B25" s="242"/>
      <c r="C25" s="80"/>
      <c r="D25" s="243"/>
      <c r="E25" s="226"/>
      <c r="F25" s="89"/>
      <c r="G25" s="81"/>
      <c r="H25" s="228"/>
      <c r="I25" s="229"/>
      <c r="J25" s="261" t="str">
        <f t="shared" si="2"/>
        <v/>
      </c>
      <c r="K25" s="200">
        <v>22</v>
      </c>
      <c r="L25" s="133">
        <f t="shared" si="3"/>
        <v>0</v>
      </c>
      <c r="M25" s="135" t="s">
        <v>5</v>
      </c>
    </row>
    <row r="26" spans="1:13" ht="13.35" customHeight="1">
      <c r="A26" s="50" t="s">
        <v>5</v>
      </c>
      <c r="B26" s="242"/>
      <c r="C26" s="80"/>
      <c r="D26" s="243"/>
      <c r="E26" s="226"/>
      <c r="F26" s="89"/>
      <c r="G26" s="81"/>
      <c r="H26" s="228"/>
      <c r="I26" s="229"/>
      <c r="J26" s="261" t="str">
        <f t="shared" si="2"/>
        <v/>
      </c>
      <c r="K26" s="200">
        <v>23</v>
      </c>
      <c r="L26" s="133">
        <f t="shared" si="3"/>
        <v>0</v>
      </c>
      <c r="M26" s="135" t="s">
        <v>5</v>
      </c>
    </row>
    <row r="27" spans="1:13" ht="13.35" customHeight="1">
      <c r="A27" s="50" t="s">
        <v>5</v>
      </c>
      <c r="B27" s="242"/>
      <c r="C27" s="80"/>
      <c r="D27" s="243"/>
      <c r="E27" s="226"/>
      <c r="F27" s="89"/>
      <c r="G27" s="81"/>
      <c r="H27" s="228"/>
      <c r="I27" s="229"/>
      <c r="J27" s="261" t="str">
        <f t="shared" si="2"/>
        <v/>
      </c>
      <c r="K27" s="200">
        <v>24</v>
      </c>
      <c r="L27" s="133">
        <f t="shared" si="3"/>
        <v>0</v>
      </c>
      <c r="M27" s="135" t="s">
        <v>5</v>
      </c>
    </row>
    <row r="28" spans="1:13" ht="13.35" customHeight="1">
      <c r="A28" s="50" t="s">
        <v>5</v>
      </c>
      <c r="B28" s="242"/>
      <c r="C28" s="80"/>
      <c r="D28" s="243"/>
      <c r="E28" s="226"/>
      <c r="F28" s="89"/>
      <c r="G28" s="81"/>
      <c r="H28" s="228"/>
      <c r="I28" s="229"/>
      <c r="J28" s="261" t="str">
        <f t="shared" si="2"/>
        <v/>
      </c>
      <c r="K28" s="200">
        <v>25</v>
      </c>
      <c r="L28" s="133">
        <f t="shared" si="3"/>
        <v>0</v>
      </c>
      <c r="M28" s="135" t="s">
        <v>5</v>
      </c>
    </row>
    <row r="29" spans="1:13" ht="13.35" customHeight="1">
      <c r="A29" s="50" t="s">
        <v>5</v>
      </c>
      <c r="B29" s="242"/>
      <c r="C29" s="80"/>
      <c r="D29" s="243"/>
      <c r="E29" s="226"/>
      <c r="F29" s="89"/>
      <c r="G29" s="81"/>
      <c r="H29" s="228"/>
      <c r="I29" s="229"/>
      <c r="J29" s="261" t="str">
        <f t="shared" si="2"/>
        <v/>
      </c>
      <c r="K29" s="200">
        <v>26</v>
      </c>
      <c r="L29" s="133">
        <f t="shared" si="3"/>
        <v>0</v>
      </c>
      <c r="M29" s="135" t="s">
        <v>5</v>
      </c>
    </row>
    <row r="30" spans="1:13" ht="13.35" customHeight="1">
      <c r="A30" s="50" t="s">
        <v>5</v>
      </c>
      <c r="B30" s="242"/>
      <c r="C30" s="80"/>
      <c r="D30" s="243"/>
      <c r="E30" s="226"/>
      <c r="F30" s="89"/>
      <c r="G30" s="81"/>
      <c r="H30" s="228"/>
      <c r="I30" s="229"/>
      <c r="J30" s="261" t="str">
        <f t="shared" si="2"/>
        <v/>
      </c>
      <c r="K30" s="200">
        <v>27</v>
      </c>
      <c r="L30" s="133">
        <f t="shared" si="3"/>
        <v>0</v>
      </c>
      <c r="M30" s="135" t="s">
        <v>5</v>
      </c>
    </row>
    <row r="31" spans="1:13" ht="13.35" customHeight="1">
      <c r="A31" s="50" t="s">
        <v>5</v>
      </c>
      <c r="B31" s="242"/>
      <c r="C31" s="80"/>
      <c r="D31" s="243"/>
      <c r="E31" s="226"/>
      <c r="F31" s="89"/>
      <c r="G31" s="81"/>
      <c r="H31" s="228"/>
      <c r="I31" s="229"/>
      <c r="J31" s="261" t="str">
        <f t="shared" si="2"/>
        <v/>
      </c>
      <c r="K31" s="200">
        <v>28</v>
      </c>
      <c r="L31" s="133">
        <f t="shared" si="3"/>
        <v>0</v>
      </c>
      <c r="M31" s="135" t="s">
        <v>5</v>
      </c>
    </row>
    <row r="32" spans="1:13" ht="13.35" customHeight="1">
      <c r="A32" s="50" t="s">
        <v>5</v>
      </c>
      <c r="B32" s="242"/>
      <c r="C32" s="80"/>
      <c r="D32" s="243"/>
      <c r="E32" s="226"/>
      <c r="F32" s="89"/>
      <c r="G32" s="81"/>
      <c r="H32" s="228"/>
      <c r="I32" s="229"/>
      <c r="J32" s="261" t="str">
        <f t="shared" si="2"/>
        <v/>
      </c>
      <c r="K32" s="200">
        <v>29</v>
      </c>
      <c r="L32" s="133">
        <f t="shared" si="3"/>
        <v>0</v>
      </c>
      <c r="M32" s="135" t="s">
        <v>5</v>
      </c>
    </row>
    <row r="33" spans="1:13" ht="13.35" customHeight="1">
      <c r="A33" s="50" t="s">
        <v>5</v>
      </c>
      <c r="B33" s="242"/>
      <c r="C33" s="80"/>
      <c r="D33" s="243"/>
      <c r="E33" s="226"/>
      <c r="F33" s="89"/>
      <c r="G33" s="81"/>
      <c r="H33" s="228"/>
      <c r="I33" s="229"/>
      <c r="J33" s="261" t="str">
        <f t="shared" si="2"/>
        <v/>
      </c>
      <c r="K33" s="200">
        <v>30</v>
      </c>
      <c r="L33" s="133">
        <f t="shared" si="3"/>
        <v>0</v>
      </c>
      <c r="M33" s="135" t="s">
        <v>5</v>
      </c>
    </row>
    <row r="34" spans="1:13" ht="13.35" customHeight="1">
      <c r="A34" s="50" t="s">
        <v>5</v>
      </c>
      <c r="B34" s="242"/>
      <c r="C34" s="80"/>
      <c r="D34" s="243"/>
      <c r="E34" s="226"/>
      <c r="F34" s="89"/>
      <c r="G34" s="81"/>
      <c r="H34" s="228"/>
      <c r="I34" s="229"/>
      <c r="J34" s="261" t="str">
        <f t="shared" si="2"/>
        <v/>
      </c>
      <c r="K34" s="200">
        <v>31</v>
      </c>
      <c r="L34" s="133">
        <f t="shared" si="3"/>
        <v>0</v>
      </c>
      <c r="M34" s="135" t="s">
        <v>5</v>
      </c>
    </row>
    <row r="35" spans="1:13" ht="13.35" customHeight="1">
      <c r="A35" s="50" t="s">
        <v>5</v>
      </c>
      <c r="B35" s="242"/>
      <c r="C35" s="80"/>
      <c r="D35" s="243"/>
      <c r="E35" s="226"/>
      <c r="F35" s="89"/>
      <c r="G35" s="81"/>
      <c r="H35" s="228"/>
      <c r="I35" s="229"/>
      <c r="J35" s="261" t="str">
        <f t="shared" si="2"/>
        <v/>
      </c>
      <c r="K35" s="200">
        <v>32</v>
      </c>
      <c r="L35" s="133">
        <f t="shared" si="3"/>
        <v>0</v>
      </c>
      <c r="M35" s="135" t="s">
        <v>5</v>
      </c>
    </row>
    <row r="36" spans="1:13" ht="13.35" customHeight="1">
      <c r="A36" s="50" t="s">
        <v>5</v>
      </c>
      <c r="B36" s="242"/>
      <c r="C36" s="80"/>
      <c r="D36" s="243"/>
      <c r="E36" s="226"/>
      <c r="F36" s="89"/>
      <c r="G36" s="81"/>
      <c r="H36" s="228"/>
      <c r="I36" s="229"/>
      <c r="J36" s="261" t="str">
        <f t="shared" si="2"/>
        <v/>
      </c>
      <c r="K36" s="200">
        <v>33</v>
      </c>
      <c r="L36" s="133">
        <f t="shared" si="3"/>
        <v>0</v>
      </c>
      <c r="M36" s="135" t="s">
        <v>5</v>
      </c>
    </row>
    <row r="37" spans="1:13" ht="13.35" customHeight="1">
      <c r="A37" s="50" t="s">
        <v>5</v>
      </c>
      <c r="B37" s="242"/>
      <c r="C37" s="80"/>
      <c r="D37" s="243"/>
      <c r="E37" s="226"/>
      <c r="F37" s="89"/>
      <c r="G37" s="81"/>
      <c r="H37" s="228"/>
      <c r="I37" s="229"/>
      <c r="J37" s="261" t="str">
        <f t="shared" si="2"/>
        <v/>
      </c>
      <c r="K37" s="200">
        <v>34</v>
      </c>
      <c r="L37" s="133">
        <f t="shared" si="3"/>
        <v>0</v>
      </c>
      <c r="M37" s="135" t="s">
        <v>5</v>
      </c>
    </row>
    <row r="38" spans="1:13" ht="13.35" customHeight="1">
      <c r="A38" s="50" t="s">
        <v>5</v>
      </c>
      <c r="B38" s="242"/>
      <c r="C38" s="80"/>
      <c r="D38" s="243"/>
      <c r="E38" s="226"/>
      <c r="F38" s="89"/>
      <c r="G38" s="81"/>
      <c r="H38" s="228"/>
      <c r="I38" s="229"/>
      <c r="J38" s="261" t="str">
        <f t="shared" si="2"/>
        <v/>
      </c>
      <c r="K38" s="200">
        <v>35</v>
      </c>
      <c r="L38" s="133">
        <f t="shared" si="3"/>
        <v>0</v>
      </c>
      <c r="M38" s="135" t="s">
        <v>5</v>
      </c>
    </row>
    <row r="39" spans="1:13" ht="13.35" customHeight="1">
      <c r="A39" s="50" t="s">
        <v>5</v>
      </c>
      <c r="B39" s="242"/>
      <c r="C39" s="80"/>
      <c r="D39" s="243"/>
      <c r="E39" s="226"/>
      <c r="F39" s="89"/>
      <c r="G39" s="81"/>
      <c r="H39" s="228"/>
      <c r="I39" s="229"/>
      <c r="J39" s="261" t="str">
        <f t="shared" si="2"/>
        <v/>
      </c>
      <c r="K39" s="200">
        <v>36</v>
      </c>
      <c r="L39" s="133">
        <f t="shared" si="3"/>
        <v>0</v>
      </c>
      <c r="M39" s="135" t="s">
        <v>5</v>
      </c>
    </row>
    <row r="40" spans="1:13" ht="13.35" customHeight="1">
      <c r="A40" s="50" t="s">
        <v>5</v>
      </c>
      <c r="B40" s="242"/>
      <c r="C40" s="80"/>
      <c r="D40" s="243"/>
      <c r="E40" s="226"/>
      <c r="F40" s="89"/>
      <c r="G40" s="81"/>
      <c r="H40" s="228"/>
      <c r="I40" s="229"/>
      <c r="J40" s="261" t="str">
        <f t="shared" si="2"/>
        <v/>
      </c>
      <c r="K40" s="200">
        <v>37</v>
      </c>
      <c r="L40" s="133">
        <f t="shared" si="3"/>
        <v>0</v>
      </c>
      <c r="M40" s="135" t="s">
        <v>5</v>
      </c>
    </row>
    <row r="41" spans="1:13" ht="13.35" customHeight="1">
      <c r="A41" s="50" t="s">
        <v>5</v>
      </c>
      <c r="B41" s="242"/>
      <c r="C41" s="80"/>
      <c r="D41" s="243"/>
      <c r="E41" s="226"/>
      <c r="F41" s="89"/>
      <c r="G41" s="81"/>
      <c r="H41" s="228"/>
      <c r="I41" s="229"/>
      <c r="J41" s="261" t="str">
        <f t="shared" si="2"/>
        <v/>
      </c>
      <c r="K41" s="200">
        <v>38</v>
      </c>
      <c r="L41" s="133">
        <f t="shared" si="3"/>
        <v>0</v>
      </c>
      <c r="M41" s="135" t="s">
        <v>5</v>
      </c>
    </row>
    <row r="42" spans="1:13" ht="13.35" customHeight="1">
      <c r="A42" s="50" t="s">
        <v>5</v>
      </c>
      <c r="B42" s="242"/>
      <c r="C42" s="80"/>
      <c r="D42" s="243"/>
      <c r="E42" s="226"/>
      <c r="F42" s="89"/>
      <c r="G42" s="81"/>
      <c r="H42" s="228"/>
      <c r="I42" s="229"/>
      <c r="J42" s="261" t="str">
        <f t="shared" si="2"/>
        <v/>
      </c>
      <c r="K42" s="200">
        <v>39</v>
      </c>
      <c r="L42" s="133">
        <f t="shared" si="3"/>
        <v>0</v>
      </c>
      <c r="M42" s="135" t="s">
        <v>5</v>
      </c>
    </row>
    <row r="43" spans="1:13" ht="13.35" customHeight="1">
      <c r="A43" s="50" t="s">
        <v>5</v>
      </c>
      <c r="B43" s="242"/>
      <c r="C43" s="80"/>
      <c r="D43" s="243"/>
      <c r="E43" s="226"/>
      <c r="F43" s="89"/>
      <c r="G43" s="81"/>
      <c r="H43" s="228"/>
      <c r="I43" s="229"/>
      <c r="J43" s="261" t="str">
        <f t="shared" si="2"/>
        <v/>
      </c>
      <c r="K43" s="200">
        <v>40</v>
      </c>
      <c r="L43" s="133">
        <f t="shared" si="3"/>
        <v>0</v>
      </c>
      <c r="M43" s="135" t="s">
        <v>5</v>
      </c>
    </row>
    <row r="44" spans="1:13" ht="13.35" customHeight="1">
      <c r="A44" s="50" t="s">
        <v>5</v>
      </c>
      <c r="B44" s="242"/>
      <c r="C44" s="80"/>
      <c r="D44" s="243"/>
      <c r="E44" s="226"/>
      <c r="F44" s="89"/>
      <c r="G44" s="81"/>
      <c r="H44" s="228"/>
      <c r="I44" s="229"/>
      <c r="J44" s="261" t="str">
        <f t="shared" si="2"/>
        <v/>
      </c>
      <c r="K44" s="200">
        <v>41</v>
      </c>
      <c r="L44" s="133">
        <f t="shared" si="3"/>
        <v>0</v>
      </c>
      <c r="M44" s="135" t="s">
        <v>5</v>
      </c>
    </row>
    <row r="45" spans="1:13" ht="13.35" customHeight="1">
      <c r="A45" s="50" t="s">
        <v>5</v>
      </c>
      <c r="B45" s="242"/>
      <c r="C45" s="80"/>
      <c r="D45" s="243"/>
      <c r="E45" s="226"/>
      <c r="F45" s="89"/>
      <c r="G45" s="81"/>
      <c r="H45" s="228"/>
      <c r="I45" s="229"/>
      <c r="J45" s="261" t="str">
        <f t="shared" ref="J45:J46" si="6">IF(G45&lt;&gt;0,+G45-I45,"")</f>
        <v/>
      </c>
      <c r="K45" s="200">
        <v>44</v>
      </c>
      <c r="L45" s="133">
        <f t="shared" ref="L45:L46" si="7">IF(B45&lt;$O$2,0,IF(B45&lt;$P$2,1,IF(B45&lt;$Q$2,2,IF(B45&lt;$R$2,3,IF(B45&lt;$S$2,4,IF(B45&lt;$T$2,5,IF(B45&lt;$U$2,6,IF(B45&lt;$V$2,7,IF(B45&lt;$W$2,8,IF(B45&lt;$X$2,9,IF(B45&lt;$Y$2,10,IF(B45&lt;$Z$2,11,IF(B45&lt;=$Z$3,12,0)))))))))))))</f>
        <v>0</v>
      </c>
      <c r="M45" s="135" t="s">
        <v>5</v>
      </c>
    </row>
    <row r="46" spans="1:13" ht="13.35" customHeight="1" thickBot="1">
      <c r="A46" s="50" t="s">
        <v>5</v>
      </c>
      <c r="B46" s="242"/>
      <c r="C46" s="80"/>
      <c r="D46" s="243"/>
      <c r="E46" s="226"/>
      <c r="F46" s="89"/>
      <c r="G46" s="81"/>
      <c r="H46" s="228"/>
      <c r="I46" s="229"/>
      <c r="J46" s="261" t="str">
        <f t="shared" si="6"/>
        <v/>
      </c>
      <c r="K46" s="200">
        <v>45</v>
      </c>
      <c r="L46" s="133">
        <f t="shared" si="7"/>
        <v>0</v>
      </c>
      <c r="M46" s="135" t="s">
        <v>5</v>
      </c>
    </row>
    <row r="47" spans="1:13" ht="12" customHeight="1" thickTop="1" thickBot="1">
      <c r="A47" s="391" t="s">
        <v>283</v>
      </c>
      <c r="B47" s="1244" t="str">
        <f>IF($A$48=0,"^ Zeile einfügen","bis hierher ziehen!")</f>
        <v>^ Zeile einfügen</v>
      </c>
      <c r="C47" s="1244"/>
      <c r="D47" s="392" t="s">
        <v>5</v>
      </c>
      <c r="E47" s="393" t="s">
        <v>5</v>
      </c>
      <c r="F47" s="394" t="s">
        <v>5</v>
      </c>
      <c r="G47" s="394"/>
      <c r="H47" s="395"/>
      <c r="I47" s="396"/>
      <c r="J47" s="425"/>
      <c r="K47" s="201">
        <v>0</v>
      </c>
      <c r="L47" s="185" t="s">
        <v>5</v>
      </c>
      <c r="M47" s="398" t="s">
        <v>283</v>
      </c>
    </row>
    <row r="48" spans="1:13" ht="12" customHeight="1" thickTop="1" thickBot="1">
      <c r="A48" s="390">
        <f>COUNTBLANK(A3:A47)+A49</f>
        <v>0</v>
      </c>
      <c r="B48" s="193" t="str">
        <f>+EÜR!C21</f>
        <v>ü</v>
      </c>
      <c r="C48" s="194" t="s">
        <v>5</v>
      </c>
      <c r="D48" s="194" t="s">
        <v>5</v>
      </c>
      <c r="E48" s="195" t="s">
        <v>5</v>
      </c>
      <c r="F48" s="196" t="s">
        <v>5</v>
      </c>
      <c r="G48" s="197">
        <f>SUBTOTAL(9,G3:G47)</f>
        <v>-1000</v>
      </c>
      <c r="H48" s="1242">
        <f>SUBTOTAL(9,I3:I47)</f>
        <v>0</v>
      </c>
      <c r="I48" s="1243">
        <f>SUBTOTAL(9,I3:I47)</f>
        <v>0</v>
      </c>
      <c r="J48" s="1284">
        <f>G48-H48</f>
        <v>-1000</v>
      </c>
      <c r="K48" s="1285"/>
      <c r="L48" s="1286"/>
      <c r="M48" s="135" t="s">
        <v>5</v>
      </c>
    </row>
    <row r="49" spans="1:14" ht="12" customHeight="1" thickTop="1" thickBot="1">
      <c r="A49" s="390">
        <f>IF(ISERROR(J47),1,0)</f>
        <v>0</v>
      </c>
      <c r="B49" s="192">
        <f>J48-G49-E49-C49</f>
        <v>-1000</v>
      </c>
      <c r="C49" s="1239">
        <f>SUMIF(F4:F47,"Kreditkarte",G4:G47)</f>
        <v>0</v>
      </c>
      <c r="D49" s="1239"/>
      <c r="E49" s="1240">
        <f>SUMIF(F4:F47,"Konto",G4:G47)</f>
        <v>0</v>
      </c>
      <c r="F49" s="1240"/>
      <c r="G49" s="1241">
        <f>SUMIF(F4:F47,"Geldbeutel",G4:G47)</f>
        <v>0</v>
      </c>
      <c r="H49" s="1241"/>
      <c r="I49" s="1241"/>
      <c r="J49" s="1287"/>
      <c r="K49" s="1288"/>
      <c r="L49" s="1289"/>
      <c r="M49" s="135" t="s">
        <v>5</v>
      </c>
    </row>
    <row r="50" spans="1:14" s="15" customFormat="1" ht="5.25" customHeight="1" thickTop="1">
      <c r="A50" s="36"/>
      <c r="B50" s="2"/>
      <c r="C50" s="3"/>
      <c r="D50" s="3"/>
      <c r="E50" s="1"/>
      <c r="G50" s="16"/>
      <c r="H50" s="16"/>
      <c r="I50" s="17"/>
      <c r="J50" s="18"/>
      <c r="K50" s="18"/>
      <c r="L50" s="31"/>
      <c r="N50" s="148"/>
    </row>
    <row r="51" spans="1:14">
      <c r="A51" s="36"/>
    </row>
  </sheetData>
  <sheetProtection formatCells="0" insertRows="0" deleteRows="0" selectLockedCells="1" sort="0" autoFilter="0"/>
  <mergeCells count="12">
    <mergeCell ref="AA9:AB9"/>
    <mergeCell ref="O10:Z10"/>
    <mergeCell ref="O11:Z11"/>
    <mergeCell ref="H48:I48"/>
    <mergeCell ref="C2:I2"/>
    <mergeCell ref="J2:L2"/>
    <mergeCell ref="J48:L49"/>
    <mergeCell ref="C49:D49"/>
    <mergeCell ref="E49:F49"/>
    <mergeCell ref="G49:I49"/>
    <mergeCell ref="AA4:AB4"/>
    <mergeCell ref="B47:C47"/>
  </mergeCells>
  <conditionalFormatting sqref="A4:A46">
    <cfRule type="expression" dxfId="1413" priority="18">
      <formula>ISERROR(J4)</formula>
    </cfRule>
    <cfRule type="cellIs" dxfId="1412" priority="19" operator="equal">
      <formula>""</formula>
    </cfRule>
  </conditionalFormatting>
  <conditionalFormatting sqref="A47:C47">
    <cfRule type="expression" dxfId="1411" priority="3">
      <formula>$A$48&lt;&gt;0</formula>
    </cfRule>
  </conditionalFormatting>
  <conditionalFormatting sqref="B2">
    <cfRule type="expression" dxfId="1410" priority="30" stopIfTrue="1">
      <formula>$B$48="x"</formula>
    </cfRule>
  </conditionalFormatting>
  <conditionalFormatting sqref="B48">
    <cfRule type="cellIs" dxfId="1409" priority="58" operator="equal">
      <formula>"y"</formula>
    </cfRule>
  </conditionalFormatting>
  <conditionalFormatting sqref="B3:J46">
    <cfRule type="expression" dxfId="1408" priority="1">
      <formula>$B$48="x"</formula>
    </cfRule>
  </conditionalFormatting>
  <conditionalFormatting sqref="C49:I49">
    <cfRule type="cellIs" dxfId="1407" priority="55" stopIfTrue="1" operator="greaterThanOrEqual">
      <formula>0</formula>
    </cfRule>
    <cfRule type="cellIs" dxfId="1406" priority="57" stopIfTrue="1" operator="lessThan">
      <formula>0</formula>
    </cfRule>
  </conditionalFormatting>
  <conditionalFormatting sqref="D47:J47">
    <cfRule type="expression" dxfId="1405" priority="5">
      <formula>$A$48&lt;&gt;0</formula>
    </cfRule>
  </conditionalFormatting>
  <conditionalFormatting sqref="J48:L48 C49:L49 C48:H48">
    <cfRule type="expression" dxfId="1403" priority="54">
      <formula>$B$48="x"</formula>
    </cfRule>
  </conditionalFormatting>
  <conditionalFormatting sqref="J48:L49">
    <cfRule type="expression" dxfId="1402" priority="53">
      <formula>AND($B$48="x",$J$48&lt;&gt;0)</formula>
    </cfRule>
  </conditionalFormatting>
  <conditionalFormatting sqref="M3">
    <cfRule type="cellIs" dxfId="1401" priority="27" operator="equal">
      <formula>""</formula>
    </cfRule>
  </conditionalFormatting>
  <conditionalFormatting sqref="M4:M46">
    <cfRule type="expression" dxfId="1400" priority="25">
      <formula>ISERROR(J4)</formula>
    </cfRule>
    <cfRule type="cellIs" dxfId="1399" priority="26" operator="equal">
      <formula>""</formula>
    </cfRule>
  </conditionalFormatting>
  <conditionalFormatting sqref="M47">
    <cfRule type="expression" dxfId="1398" priority="4">
      <formula>$A$48&lt;&gt;0</formula>
    </cfRule>
  </conditionalFormatting>
  <conditionalFormatting sqref="M47:M49">
    <cfRule type="cellIs" dxfId="1397" priority="7" operator="equal">
      <formula>""</formula>
    </cfRule>
  </conditionalFormatting>
  <conditionalFormatting sqref="N10:AB10 O11:AB49">
    <cfRule type="expression" dxfId="1396" priority="28">
      <formula>$N$2=0</formula>
    </cfRule>
  </conditionalFormatting>
  <conditionalFormatting sqref="O11:Z11">
    <cfRule type="cellIs" dxfId="1395" priority="39" operator="equal">
      <formula>"Fehler!"</formula>
    </cfRule>
  </conditionalFormatting>
  <conditionalFormatting sqref="O4:AA4">
    <cfRule type="expression" dxfId="1394" priority="29">
      <formula>$N$2=0</formula>
    </cfRule>
  </conditionalFormatting>
  <conditionalFormatting sqref="O2:AB3">
    <cfRule type="expression" dxfId="1392" priority="2">
      <formula>$N$2=0</formula>
    </cfRule>
  </conditionalFormatting>
  <conditionalFormatting sqref="O5:AB8 O9:AA9">
    <cfRule type="expression" dxfId="1391" priority="38">
      <formula>$N$2=0</formula>
    </cfRule>
  </conditionalFormatting>
  <dataValidations count="3">
    <dataValidation type="list" allowBlank="1" showInputMessage="1" showErrorMessage="1" sqref="F4:F46" xr:uid="{6E330C3E-9089-4EB6-83F0-1FE3F4B0D4D2}">
      <formula1>"Konto,Geldbeutel,Kreditkarte,x"</formula1>
    </dataValidation>
    <dataValidation type="list" allowBlank="1" showInputMessage="1" showErrorMessage="1" sqref="H4:H46" xr:uid="{F2EBE24C-7316-4A26-B057-F8286691059B}">
      <formula1>"19,7,0,~"</formula1>
    </dataValidation>
    <dataValidation type="list" allowBlank="1" showInputMessage="1" showErrorMessage="1" sqref="D4:D46" xr:uid="{B6696AC6-40A0-46F3-B41D-27C534AF4612}">
      <formula1>"wie Vorjahr,Übernahme,Beginn,Ende"</formula1>
    </dataValidation>
  </dataValidations>
  <hyperlinks>
    <hyperlink ref="J2" location="'2022 EÜR'!A1" display="Menü" xr:uid="{469DE4B7-3C8C-4148-B8A2-40BA7FF493DB}"/>
    <hyperlink ref="J2:L2" location="EÜR!A1" display="EÜR" xr:uid="{E77D6896-2559-434C-984B-DE4DB6ACA7AB}"/>
  </hyperlinks>
  <printOptions horizontalCentered="1"/>
  <pageMargins left="0" right="0" top="0" bottom="0.31496062992125984" header="0" footer="0"/>
  <pageSetup paperSize="9" orientation="portrait" r:id="rId1"/>
  <headerFooter>
    <oddFooter>&amp;L&amp;"Arial,Standard"&amp;8Datei: &amp;Z&amp;F/&amp;A&amp;C&amp;"Arial,Standard"&amp;8Seite &amp;P von &amp;N&amp;R&amp;"Arial,Standard"&amp;8Druck: &amp;D&amp;T Uhr</oddFooter>
  </headerFooter>
  <extLst>
    <ext xmlns:x14="http://schemas.microsoft.com/office/spreadsheetml/2009/9/main" uri="{78C0D931-6437-407d-A8EE-F0AAD7539E65}">
      <x14:conditionalFormattings>
        <x14:conditionalFormatting xmlns:xm="http://schemas.microsoft.com/office/excel/2006/main">
          <x14:cfRule type="expression" priority="36" id="{AC95A22D-E24B-4012-BF3E-4E7AC32C9EA5}">
            <xm:f>AND(EÜR!$J$66&lt;&gt;"ü",$H$48&lt;&gt;0)</xm:f>
            <x14:dxf>
              <font>
                <b/>
                <i val="0"/>
                <color rgb="FFFFFF00"/>
              </font>
              <fill>
                <patternFill>
                  <bgColor rgb="FFFF0000"/>
                </patternFill>
              </fill>
            </x14:dxf>
          </x14:cfRule>
          <xm:sqref>H48:I48</xm:sqref>
        </x14:conditionalFormatting>
        <x14:conditionalFormatting xmlns:xm="http://schemas.microsoft.com/office/excel/2006/main">
          <x14:cfRule type="expression" priority="31" id="{6D62C403-7D5F-49C4-A54B-3A14FAA2BA1D}">
            <xm:f>EÜR!$J$66="-"</xm:f>
            <x14:dxf>
              <font>
                <b/>
                <i val="0"/>
                <color theme="0"/>
              </font>
              <fill>
                <patternFill>
                  <bgColor theme="0"/>
                </patternFill>
              </fill>
              <border>
                <left/>
                <right/>
                <top/>
                <bottom/>
              </border>
            </x14:dxf>
          </x14:cfRule>
          <xm:sqref>O12:AA14</xm:sqref>
        </x14:conditionalFormatting>
      </x14:conditionalFormatting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0757CC-7C46-41A7-A504-34FE51E58A04}">
  <sheetPr codeName="Tabelle2">
    <tabColor theme="9" tint="0.39997558519241921"/>
    <pageSetUpPr autoPageBreaks="0"/>
  </sheetPr>
  <dimension ref="A1:AB51"/>
  <sheetViews>
    <sheetView showGridLines="0" showRowColHeaders="0" zoomScaleNormal="100" workbookViewId="0">
      <pane ySplit="3" topLeftCell="A4" activePane="bottomLeft" state="frozen"/>
      <selection activeCell="O10" sqref="O10:Z10"/>
      <selection pane="bottomLeft" activeCell="A4" sqref="A4"/>
    </sheetView>
  </sheetViews>
  <sheetFormatPr baseColWidth="10" defaultColWidth="9.77734375" defaultRowHeight="12.75"/>
  <cols>
    <col min="1" max="1" width="0.77734375" style="12" customWidth="1"/>
    <col min="2" max="2" width="7.6640625" style="30" customWidth="1"/>
    <col min="3" max="3" width="21.6640625" style="24" customWidth="1"/>
    <col min="4" max="4" width="7.6640625" style="24" customWidth="1"/>
    <col min="5" max="5" width="6.6640625" style="25" customWidth="1"/>
    <col min="6" max="6" width="9.6640625" style="26" customWidth="1"/>
    <col min="7" max="7" width="9.6640625" style="27" customWidth="1"/>
    <col min="8" max="8" width="2.6640625" style="28" customWidth="1"/>
    <col min="9" max="9" width="6.6640625" style="29" customWidth="1"/>
    <col min="10" max="10" width="9.6640625" style="27" customWidth="1"/>
    <col min="11" max="11" width="2.5546875" style="27" hidden="1" customWidth="1"/>
    <col min="12" max="12" width="1.5546875" style="32" hidden="1" customWidth="1"/>
    <col min="13" max="13" width="0.77734375" style="13" customWidth="1"/>
    <col min="14" max="14" width="1.77734375" style="147" customWidth="1"/>
    <col min="15" max="26" width="8.77734375" style="13" customWidth="1"/>
    <col min="27" max="27" width="10.33203125" style="13" customWidth="1"/>
    <col min="28" max="28" width="8.33203125" style="13" customWidth="1"/>
    <col min="29" max="16384" width="9.77734375" style="13"/>
  </cols>
  <sheetData>
    <row r="1" spans="1:28" s="37" customFormat="1" ht="3" customHeight="1" thickBot="1">
      <c r="A1" s="36"/>
      <c r="B1" s="53" t="str">
        <f>+B48</f>
        <v>ü</v>
      </c>
      <c r="C1" s="54">
        <f>+C49</f>
        <v>0</v>
      </c>
      <c r="D1" s="54"/>
      <c r="E1" s="53">
        <f>+E49</f>
        <v>0</v>
      </c>
      <c r="F1" s="53"/>
      <c r="G1" s="54">
        <f>+G49</f>
        <v>0</v>
      </c>
      <c r="H1" s="53"/>
      <c r="I1" s="338" t="str">
        <f>+EÜR!J66</f>
        <v>-</v>
      </c>
      <c r="J1" s="54">
        <f>+J48</f>
        <v>0</v>
      </c>
      <c r="K1" s="198"/>
      <c r="L1" s="56"/>
      <c r="N1" s="190"/>
    </row>
    <row r="2" spans="1:28" ht="23.1" customHeight="1" thickTop="1" thickBot="1">
      <c r="A2" s="36"/>
      <c r="B2" s="296" t="str">
        <f>+EÜR!D22</f>
        <v>A01</v>
      </c>
      <c r="C2" s="1290" t="str">
        <f>+EÜR!F22</f>
        <v>Waren, Rohstoffe, Hilfsstoffe, Nebenkosten</v>
      </c>
      <c r="D2" s="1291"/>
      <c r="E2" s="1291"/>
      <c r="F2" s="1291"/>
      <c r="G2" s="1291"/>
      <c r="H2" s="1291"/>
      <c r="I2" s="1292"/>
      <c r="J2" s="1227" t="s">
        <v>8</v>
      </c>
      <c r="K2" s="1228"/>
      <c r="L2" s="1229"/>
      <c r="M2" s="134"/>
      <c r="N2" s="190">
        <f>IF(OR(B48="x",N3=1),0,1)</f>
        <v>1</v>
      </c>
      <c r="O2" s="188">
        <f>+EOMONTH(EÜR!$I$3,-1)+1</f>
        <v>46023</v>
      </c>
      <c r="P2" s="188">
        <f t="shared" ref="P2:Z2" si="0">+O3+1</f>
        <v>46054</v>
      </c>
      <c r="Q2" s="188">
        <f t="shared" si="0"/>
        <v>46082</v>
      </c>
      <c r="R2" s="188">
        <f t="shared" si="0"/>
        <v>46113</v>
      </c>
      <c r="S2" s="188">
        <f t="shared" si="0"/>
        <v>46143</v>
      </c>
      <c r="T2" s="188">
        <f t="shared" si="0"/>
        <v>46174</v>
      </c>
      <c r="U2" s="188">
        <f t="shared" si="0"/>
        <v>46204</v>
      </c>
      <c r="V2" s="188">
        <f t="shared" si="0"/>
        <v>46235</v>
      </c>
      <c r="W2" s="188">
        <f t="shared" si="0"/>
        <v>46266</v>
      </c>
      <c r="X2" s="188">
        <f t="shared" si="0"/>
        <v>46296</v>
      </c>
      <c r="Y2" s="188">
        <f t="shared" si="0"/>
        <v>46327</v>
      </c>
      <c r="Z2" s="188">
        <f t="shared" si="0"/>
        <v>46357</v>
      </c>
      <c r="AA2" s="48"/>
    </row>
    <row r="3" spans="1:28" ht="14.25" customHeight="1" thickTop="1">
      <c r="A3" s="36" t="s">
        <v>5</v>
      </c>
      <c r="B3" s="58" t="s">
        <v>1</v>
      </c>
      <c r="C3" s="59" t="s">
        <v>6</v>
      </c>
      <c r="D3" s="60"/>
      <c r="E3" s="310" t="s">
        <v>7</v>
      </c>
      <c r="F3" s="61" t="s">
        <v>4</v>
      </c>
      <c r="G3" s="62" t="s">
        <v>31</v>
      </c>
      <c r="H3" s="63" t="s">
        <v>33</v>
      </c>
      <c r="I3" s="64" t="s">
        <v>32</v>
      </c>
      <c r="J3" s="275" t="s">
        <v>34</v>
      </c>
      <c r="K3" s="199">
        <v>0</v>
      </c>
      <c r="L3" s="65" t="s">
        <v>5</v>
      </c>
      <c r="M3" s="135" t="s">
        <v>5</v>
      </c>
      <c r="N3" s="222">
        <f>IF(SUBTOTAL(109,K3:K47)&lt;&gt;SUM(K3:K47),1,0)</f>
        <v>0</v>
      </c>
      <c r="O3" s="189">
        <f>EOMONTH(O2,0)</f>
        <v>46053</v>
      </c>
      <c r="P3" s="189">
        <f t="shared" ref="P3:Z3" si="1">EOMONTH(P2,0)</f>
        <v>46081</v>
      </c>
      <c r="Q3" s="189">
        <f t="shared" si="1"/>
        <v>46112</v>
      </c>
      <c r="R3" s="189">
        <f t="shared" si="1"/>
        <v>46142</v>
      </c>
      <c r="S3" s="189">
        <f t="shared" si="1"/>
        <v>46173</v>
      </c>
      <c r="T3" s="189">
        <f t="shared" si="1"/>
        <v>46203</v>
      </c>
      <c r="U3" s="189">
        <f t="shared" si="1"/>
        <v>46234</v>
      </c>
      <c r="V3" s="189">
        <f t="shared" si="1"/>
        <v>46265</v>
      </c>
      <c r="W3" s="189">
        <f t="shared" si="1"/>
        <v>46295</v>
      </c>
      <c r="X3" s="189">
        <f t="shared" si="1"/>
        <v>46326</v>
      </c>
      <c r="Y3" s="189">
        <f t="shared" si="1"/>
        <v>46356</v>
      </c>
      <c r="Z3" s="189">
        <f t="shared" si="1"/>
        <v>46387</v>
      </c>
      <c r="AB3" s="14"/>
    </row>
    <row r="4" spans="1:28" ht="13.35" customHeight="1">
      <c r="A4" s="50" t="s">
        <v>5</v>
      </c>
      <c r="B4" s="141"/>
      <c r="C4" s="80"/>
      <c r="D4" s="93"/>
      <c r="E4" s="226"/>
      <c r="F4" s="89"/>
      <c r="G4" s="81"/>
      <c r="H4" s="82"/>
      <c r="I4" s="83" t="str">
        <f t="shared" ref="I4:I44" si="2">IF(G4&lt;&gt;"",+G4-G4/(1+H4/100),"")</f>
        <v/>
      </c>
      <c r="J4" s="361" t="str">
        <f t="shared" ref="J4:J44" si="3">IF(G4&lt;&gt;0,+G4-I4,"")</f>
        <v/>
      </c>
      <c r="K4" s="200">
        <v>1</v>
      </c>
      <c r="L4" s="133">
        <f>IF(B4&lt;$O$2,0,IF(B4&lt;$P$2,1,IF(B4&lt;$Q$2,2,IF(B4&lt;$R$2,3,IF(B4&lt;$S$2,4,IF(B4&lt;$T$2,5,IF(B4&lt;$U$2,6,IF(B4&lt;$V$2,7,IF(B4&lt;$W$2,8,IF(B4&lt;$X$2,9,IF(B4&lt;$Y$2,10,IF(B4&lt;$Z$2,11,IF(B4&lt;=$Z$3,12,0)))))))))))))</f>
        <v>0</v>
      </c>
      <c r="M4" s="135" t="s">
        <v>5</v>
      </c>
      <c r="N4" s="190">
        <f>+N10+AA12+AA16</f>
        <v>0</v>
      </c>
      <c r="O4" s="251" t="s">
        <v>36</v>
      </c>
      <c r="P4" s="251" t="s">
        <v>37</v>
      </c>
      <c r="Q4" s="251" t="s">
        <v>38</v>
      </c>
      <c r="R4" s="251" t="s">
        <v>39</v>
      </c>
      <c r="S4" s="251" t="s">
        <v>40</v>
      </c>
      <c r="T4" s="251" t="s">
        <v>41</v>
      </c>
      <c r="U4" s="251" t="s">
        <v>42</v>
      </c>
      <c r="V4" s="251" t="s">
        <v>43</v>
      </c>
      <c r="W4" s="251" t="s">
        <v>44</v>
      </c>
      <c r="X4" s="251" t="s">
        <v>45</v>
      </c>
      <c r="Y4" s="251" t="s">
        <v>46</v>
      </c>
      <c r="Z4" s="251" t="s">
        <v>47</v>
      </c>
      <c r="AA4" s="1209" t="s">
        <v>255</v>
      </c>
      <c r="AB4" s="1210"/>
    </row>
    <row r="5" spans="1:28" ht="13.35" customHeight="1">
      <c r="A5" s="50" t="s">
        <v>5</v>
      </c>
      <c r="B5" s="141"/>
      <c r="C5" s="80"/>
      <c r="D5" s="93"/>
      <c r="E5" s="226"/>
      <c r="F5" s="89"/>
      <c r="G5" s="81"/>
      <c r="H5" s="82"/>
      <c r="I5" s="83" t="str">
        <f t="shared" si="2"/>
        <v/>
      </c>
      <c r="J5" s="361" t="str">
        <f t="shared" si="3"/>
        <v/>
      </c>
      <c r="K5" s="200">
        <v>2</v>
      </c>
      <c r="L5" s="133">
        <f t="shared" ref="L5:L44" si="4">IF(B5&lt;$O$2,0,IF(B5&lt;$P$2,1,IF(B5&lt;$Q$2,2,IF(B5&lt;$R$2,3,IF(B5&lt;$S$2,4,IF(B5&lt;$T$2,5,IF(B5&lt;$U$2,6,IF(B5&lt;$V$2,7,IF(B5&lt;$W$2,8,IF(B5&lt;$X$2,9,IF(B5&lt;$Y$2,10,IF(B5&lt;$Z$2,11,IF(B5&lt;=$Z$3,12,0)))))))))))))</f>
        <v>0</v>
      </c>
      <c r="M5" s="135" t="s">
        <v>5</v>
      </c>
      <c r="O5" s="252">
        <f>SUMIFS($G$3:$G$47,$L$3:$L$47,1,$F$3:$F$47,"Konto")</f>
        <v>0</v>
      </c>
      <c r="P5" s="252">
        <f>SUMIFS($G$3:$G$47,$L$3:$L$47,2,$F$3:$F$47,"Konto")</f>
        <v>0</v>
      </c>
      <c r="Q5" s="252">
        <f>SUMIFS($G$3:$G$47,$L$3:$L$47,3,$F$3:$F$47,"Konto")</f>
        <v>0</v>
      </c>
      <c r="R5" s="252">
        <f>SUMIFS($G$3:$G$47,$L$3:$L$47,4,$F$3:$F$47,"Konto")</f>
        <v>0</v>
      </c>
      <c r="S5" s="252">
        <f>SUMIFS($G$3:$G$47,$L$3:$L$47,5,$F$3:$F$47,"Konto")</f>
        <v>0</v>
      </c>
      <c r="T5" s="252">
        <f>SUMIFS($G$3:$G$47,$L$3:$L$47,6,$F$3:$F$47,"Konto")</f>
        <v>0</v>
      </c>
      <c r="U5" s="252">
        <f>SUMIFS($G$3:$G$47,$L$3:$L$47,7,$F$3:$F$47,"Konto")</f>
        <v>0</v>
      </c>
      <c r="V5" s="252">
        <f>SUMIFS($G$3:$G$47,$L$3:$L$47,8,$F$3:$F$47,"Konto")</f>
        <v>0</v>
      </c>
      <c r="W5" s="252">
        <f>SUMIFS($G$3:$G$47,$L$3:$L$47,9,$F$3:$F$47,"Konto")</f>
        <v>0</v>
      </c>
      <c r="X5" s="252">
        <f>SUMIFS($G$3:$G$47,$L$3:$L$47,10,$F$3:$F$47,"Konto")</f>
        <v>0</v>
      </c>
      <c r="Y5" s="252">
        <f>SUMIFS($G$3:$G$47,$L$3:$L$47,11,$F$3:$F$47,"Konto")</f>
        <v>0</v>
      </c>
      <c r="Z5" s="252">
        <f>SUMIFS($G$3:$G$47,$L$3:$L$47,12,$F$3:$F$47,"Konto")</f>
        <v>0</v>
      </c>
      <c r="AA5" s="253">
        <f>SUM(O5:Z5)</f>
        <v>0</v>
      </c>
      <c r="AB5" s="254" t="s">
        <v>140</v>
      </c>
    </row>
    <row r="6" spans="1:28" ht="13.35" customHeight="1">
      <c r="A6" s="50" t="s">
        <v>5</v>
      </c>
      <c r="B6" s="141"/>
      <c r="C6" s="80"/>
      <c r="D6" s="93"/>
      <c r="E6" s="226"/>
      <c r="F6" s="89"/>
      <c r="G6" s="81"/>
      <c r="H6" s="82"/>
      <c r="I6" s="83" t="str">
        <f t="shared" si="2"/>
        <v/>
      </c>
      <c r="J6" s="361" t="str">
        <f t="shared" si="3"/>
        <v/>
      </c>
      <c r="K6" s="200">
        <v>3</v>
      </c>
      <c r="L6" s="133">
        <f t="shared" si="4"/>
        <v>0</v>
      </c>
      <c r="M6" s="135" t="s">
        <v>5</v>
      </c>
      <c r="N6" s="190"/>
      <c r="O6" s="252">
        <f>SUMIFS($G$3:$G$47,$L$3:$L$47,1,$F$3:$F$47,"Kreditkarte")</f>
        <v>0</v>
      </c>
      <c r="P6" s="252">
        <f>SUMIFS($G$3:$G$47,$L$3:$L$47,2,$F$3:$F$47,"Kreditkarte")</f>
        <v>0</v>
      </c>
      <c r="Q6" s="252">
        <f>SUMIFS($G$3:$G$47,$L$3:$L$47,3,$F$3:$F$47,"Kreditkarte")</f>
        <v>0</v>
      </c>
      <c r="R6" s="252">
        <f>SUMIFS($G$3:$G$47,$L$3:$L$47,4,$F$3:$F$47,"Kreditkarte")</f>
        <v>0</v>
      </c>
      <c r="S6" s="252">
        <f>SUMIFS($G$3:$G$47,$L$3:$L$47,5,$F$3:$F$47,"Kreditkarte")</f>
        <v>0</v>
      </c>
      <c r="T6" s="252">
        <f>SUMIFS($G$3:$G$47,$L$3:$L$47,6,$F$3:$F$47,"Kreditkarte")</f>
        <v>0</v>
      </c>
      <c r="U6" s="252">
        <f>SUMIFS($G$3:$G$47,$L$3:$L$47,7,$F$3:$F$47,"Kreditkarte")</f>
        <v>0</v>
      </c>
      <c r="V6" s="252">
        <f>SUMIFS($G$3:$G$47,$L$3:$L$47,8,$F$3:$F$47,"Kreditkarte")</f>
        <v>0</v>
      </c>
      <c r="W6" s="252">
        <f>SUMIFS($G$3:$G$47,$L$3:$L$47,9,$F$3:$F$47,"Kreditkarte")</f>
        <v>0</v>
      </c>
      <c r="X6" s="252">
        <f>SUMIFS($G$3:$G$47,$L$3:$L$47,10,$F$3:$F$47,"Kreditkarte")</f>
        <v>0</v>
      </c>
      <c r="Y6" s="252">
        <f>SUMIFS($G$3:$G$47,$L$3:$L$47,11,$F$3:$F$47,"Kreditkarte")</f>
        <v>0</v>
      </c>
      <c r="Z6" s="252">
        <f>SUMIFS($G$3:$G$47,$L$3:$L$47,12,$F$3:$F$47,"Kreditkarte")</f>
        <v>0</v>
      </c>
      <c r="AA6" s="255">
        <f t="shared" ref="AA6:AA8" si="5">SUM(O6:Z6)</f>
        <v>0</v>
      </c>
      <c r="AB6" s="256" t="s">
        <v>142</v>
      </c>
    </row>
    <row r="7" spans="1:28" ht="13.35" customHeight="1">
      <c r="A7" s="50" t="s">
        <v>5</v>
      </c>
      <c r="B7" s="141"/>
      <c r="C7" s="80"/>
      <c r="D7" s="93"/>
      <c r="E7" s="226"/>
      <c r="F7" s="89"/>
      <c r="G7" s="81"/>
      <c r="H7" s="82"/>
      <c r="I7" s="83" t="str">
        <f t="shared" si="2"/>
        <v/>
      </c>
      <c r="J7" s="361" t="str">
        <f t="shared" si="3"/>
        <v/>
      </c>
      <c r="K7" s="200">
        <v>4</v>
      </c>
      <c r="L7" s="133">
        <f t="shared" si="4"/>
        <v>0</v>
      </c>
      <c r="M7" s="135" t="s">
        <v>5</v>
      </c>
      <c r="O7" s="252">
        <f>SUMIFS($G$3:$G$47,$L$3:$L$47,1,$F$3:$F$47,"Geldbeutel")</f>
        <v>0</v>
      </c>
      <c r="P7" s="252">
        <f>SUMIFS($G$3:$G$47,$L$3:$L$47,2,$F$3:$F$47,"Geldbeutel")</f>
        <v>0</v>
      </c>
      <c r="Q7" s="252">
        <f>SUMIFS($G$3:$G$47,$L$3:$L$47,3,$F$3:$F$47,"Geldbeutel")</f>
        <v>0</v>
      </c>
      <c r="R7" s="252">
        <f>SUMIFS($G$3:$G$47,$L$3:$L$47,4,$F$3:$F$47,"Geldbeutel")</f>
        <v>0</v>
      </c>
      <c r="S7" s="252">
        <f>SUMIFS($G$3:$G$47,$L$3:$L$47,5,$F$3:$F$47,"Geldbeutel")</f>
        <v>0</v>
      </c>
      <c r="T7" s="252">
        <f>SUMIFS($G$3:$G$47,$L$3:$L$47,6,$F$3:$F$47,"Geldbeutel")</f>
        <v>0</v>
      </c>
      <c r="U7" s="252">
        <f>SUMIFS($G$3:$G$47,$L$3:$L$47,7,$F$3:$F$47,"Geldbeutel")</f>
        <v>0</v>
      </c>
      <c r="V7" s="252">
        <f>SUMIFS($G$3:$G$47,$L$3:$L$47,8,$F$3:$F$47,"Geldbeutel")</f>
        <v>0</v>
      </c>
      <c r="W7" s="252">
        <f>SUMIFS($G$3:$G$47,$L$3:$L$47,9,$F$3:$F$47,"Geldbeutel")</f>
        <v>0</v>
      </c>
      <c r="X7" s="252">
        <f>SUMIFS($G$3:$G$47,$L$3:$L$47,10,$F$3:$F$47,"Geldbeutel")</f>
        <v>0</v>
      </c>
      <c r="Y7" s="252">
        <f>SUMIFS($G$3:$G$47,$L$3:$L$47,11,$F$3:$F$47,"Geldbeutel")</f>
        <v>0</v>
      </c>
      <c r="Z7" s="252">
        <f>SUMIFS($G$3:$G$47,$L$3:$L$47,12,$F$3:$F$47,"Geldbeutel")</f>
        <v>0</v>
      </c>
      <c r="AA7" s="253">
        <f t="shared" si="5"/>
        <v>0</v>
      </c>
      <c r="AB7" s="254" t="s">
        <v>139</v>
      </c>
    </row>
    <row r="8" spans="1:28" ht="13.35" customHeight="1">
      <c r="A8" s="50" t="s">
        <v>5</v>
      </c>
      <c r="B8" s="141"/>
      <c r="C8" s="80"/>
      <c r="D8" s="93"/>
      <c r="E8" s="226"/>
      <c r="F8" s="89"/>
      <c r="G8" s="81"/>
      <c r="H8" s="82"/>
      <c r="I8" s="83" t="str">
        <f t="shared" si="2"/>
        <v/>
      </c>
      <c r="J8" s="361" t="str">
        <f t="shared" si="3"/>
        <v/>
      </c>
      <c r="K8" s="200">
        <v>5</v>
      </c>
      <c r="L8" s="133">
        <f t="shared" si="4"/>
        <v>0</v>
      </c>
      <c r="M8" s="135" t="s">
        <v>5</v>
      </c>
      <c r="O8" s="252">
        <f>SUMIFS($G$3:$G$47,$L$3:$L$47,1,$F$3:$F$47,"X")</f>
        <v>0</v>
      </c>
      <c r="P8" s="252">
        <f>SUMIFS($G$3:$G$47,$L$3:$L$47,2,$F$3:$F$47,"X")</f>
        <v>0</v>
      </c>
      <c r="Q8" s="252">
        <f>SUMIFS($G$3:$G$47,$L$3:$L$47,3,$F$3:$F$47,"X")</f>
        <v>0</v>
      </c>
      <c r="R8" s="252">
        <f>SUMIFS($G$3:$G$47,$L$3:$L$47,4,$F$3:$F$47,"X")</f>
        <v>0</v>
      </c>
      <c r="S8" s="252">
        <f>SUMIFS($G$3:$G$47,$L$3:$L$47,5,$F$3:$F$47,"X")</f>
        <v>0</v>
      </c>
      <c r="T8" s="252">
        <f>SUMIFS($G$3:$G$47,$L$3:$L$47,6,$F$3:$F$47,"X")</f>
        <v>0</v>
      </c>
      <c r="U8" s="252">
        <f>SUMIFS($G$3:$G$47,$L$3:$L$47,7,$F$3:$F$47,"X")</f>
        <v>0</v>
      </c>
      <c r="V8" s="252">
        <f>SUMIFS($G$3:$G$47,$L$3:$L$47,8,$F$3:$F$47,"X")</f>
        <v>0</v>
      </c>
      <c r="W8" s="252">
        <f>SUMIFS($G$3:$G$47,$L$3:$L$47,9,$F$3:$F$47,"X")</f>
        <v>0</v>
      </c>
      <c r="X8" s="252">
        <f>SUMIFS($G$3:$G$47,$L$3:$L$47,10,$F$3:$F$47,"X")</f>
        <v>0</v>
      </c>
      <c r="Y8" s="252">
        <f>SUMIFS($G$3:$G$47,$L$3:$L$47,11,$F$3:$F$47,"X")</f>
        <v>0</v>
      </c>
      <c r="Z8" s="252">
        <f>SUMIFS($G$3:$G$47,$L$3:$L$47,12,$F$3:$F$47,"X")</f>
        <v>0</v>
      </c>
      <c r="AA8" s="255">
        <f t="shared" si="5"/>
        <v>0</v>
      </c>
      <c r="AB8" s="256" t="s">
        <v>192</v>
      </c>
    </row>
    <row r="9" spans="1:28" ht="13.35" customHeight="1">
      <c r="A9" s="50" t="s">
        <v>5</v>
      </c>
      <c r="B9" s="141"/>
      <c r="C9" s="80"/>
      <c r="D9" s="93"/>
      <c r="E9" s="226"/>
      <c r="F9" s="89"/>
      <c r="G9" s="81"/>
      <c r="H9" s="82"/>
      <c r="I9" s="83" t="str">
        <f t="shared" si="2"/>
        <v/>
      </c>
      <c r="J9" s="361" t="str">
        <f t="shared" si="3"/>
        <v/>
      </c>
      <c r="K9" s="200">
        <v>6</v>
      </c>
      <c r="L9" s="133">
        <f t="shared" si="4"/>
        <v>0</v>
      </c>
      <c r="M9" s="135" t="s">
        <v>5</v>
      </c>
      <c r="N9" s="191">
        <f>IF(OR(AND(AA14&lt;&gt;0,B48="x"),(O14+AA13)&lt;&gt;H48),1,0)</f>
        <v>0</v>
      </c>
      <c r="O9" s="257">
        <f>SUM(O5:O8)</f>
        <v>0</v>
      </c>
      <c r="P9" s="257">
        <f t="shared" ref="P9:Z9" si="6">SUM(P5:P8)</f>
        <v>0</v>
      </c>
      <c r="Q9" s="257">
        <f t="shared" si="6"/>
        <v>0</v>
      </c>
      <c r="R9" s="257">
        <f t="shared" si="6"/>
        <v>0</v>
      </c>
      <c r="S9" s="257">
        <f t="shared" si="6"/>
        <v>0</v>
      </c>
      <c r="T9" s="257">
        <f t="shared" si="6"/>
        <v>0</v>
      </c>
      <c r="U9" s="257">
        <f t="shared" si="6"/>
        <v>0</v>
      </c>
      <c r="V9" s="257">
        <f t="shared" si="6"/>
        <v>0</v>
      </c>
      <c r="W9" s="257">
        <f t="shared" si="6"/>
        <v>0</v>
      </c>
      <c r="X9" s="257">
        <f t="shared" si="6"/>
        <v>0</v>
      </c>
      <c r="Y9" s="257">
        <f t="shared" si="6"/>
        <v>0</v>
      </c>
      <c r="Z9" s="257">
        <f t="shared" si="6"/>
        <v>0</v>
      </c>
      <c r="AA9" s="1211" t="s">
        <v>197</v>
      </c>
      <c r="AB9" s="1212"/>
    </row>
    <row r="10" spans="1:28" ht="13.35" customHeight="1">
      <c r="A10" s="50" t="s">
        <v>5</v>
      </c>
      <c r="B10" s="141"/>
      <c r="C10" s="80"/>
      <c r="D10" s="93"/>
      <c r="E10" s="226"/>
      <c r="F10" s="89"/>
      <c r="G10" s="81"/>
      <c r="H10" s="82"/>
      <c r="I10" s="83" t="str">
        <f t="shared" si="2"/>
        <v/>
      </c>
      <c r="J10" s="361" t="str">
        <f t="shared" si="3"/>
        <v/>
      </c>
      <c r="K10" s="200">
        <v>7</v>
      </c>
      <c r="L10" s="133">
        <f t="shared" si="4"/>
        <v>0</v>
      </c>
      <c r="M10" s="135" t="s">
        <v>5</v>
      </c>
      <c r="N10" s="259">
        <f>IF(O10+AA10&lt;&gt;G48,1,0)</f>
        <v>0</v>
      </c>
      <c r="O10" s="1230">
        <f>SUM(O5:Z8)</f>
        <v>0</v>
      </c>
      <c r="P10" s="1231"/>
      <c r="Q10" s="1231"/>
      <c r="R10" s="1231"/>
      <c r="S10" s="1231"/>
      <c r="T10" s="1231"/>
      <c r="U10" s="1231"/>
      <c r="V10" s="1231"/>
      <c r="W10" s="1231"/>
      <c r="X10" s="1231"/>
      <c r="Y10" s="1231"/>
      <c r="Z10" s="1232"/>
      <c r="AA10" s="292">
        <f>+G48-AA7-AA6-AA5-AA8</f>
        <v>0</v>
      </c>
      <c r="AB10" s="293" t="s">
        <v>205</v>
      </c>
    </row>
    <row r="11" spans="1:28" ht="13.35" customHeight="1">
      <c r="A11" s="50" t="s">
        <v>5</v>
      </c>
      <c r="B11" s="141"/>
      <c r="C11" s="80"/>
      <c r="D11" s="93"/>
      <c r="E11" s="226"/>
      <c r="F11" s="89"/>
      <c r="G11" s="81"/>
      <c r="H11" s="82"/>
      <c r="I11" s="83" t="str">
        <f t="shared" si="2"/>
        <v/>
      </c>
      <c r="J11" s="361" t="str">
        <f t="shared" si="3"/>
        <v/>
      </c>
      <c r="K11" s="200">
        <v>8</v>
      </c>
      <c r="L11" s="133">
        <f t="shared" si="4"/>
        <v>0</v>
      </c>
      <c r="M11" s="135" t="s">
        <v>5</v>
      </c>
      <c r="O11" s="1219" t="str">
        <f>IF(N4&gt;0,"Fehler!","")</f>
        <v/>
      </c>
      <c r="P11" s="1219"/>
      <c r="Q11" s="1219"/>
      <c r="R11" s="1219"/>
      <c r="S11" s="1219"/>
      <c r="T11" s="1219"/>
      <c r="U11" s="1219"/>
      <c r="V11" s="1219"/>
      <c r="W11" s="1219"/>
      <c r="X11" s="1219"/>
      <c r="Y11" s="1219"/>
      <c r="Z11" s="1219"/>
    </row>
    <row r="12" spans="1:28" ht="13.35" customHeight="1">
      <c r="A12" s="50" t="s">
        <v>5</v>
      </c>
      <c r="B12" s="141"/>
      <c r="C12" s="80"/>
      <c r="D12" s="93"/>
      <c r="E12" s="226"/>
      <c r="F12" s="89"/>
      <c r="G12" s="81"/>
      <c r="H12" s="82"/>
      <c r="I12" s="83" t="str">
        <f t="shared" si="2"/>
        <v/>
      </c>
      <c r="J12" s="361" t="str">
        <f t="shared" si="3"/>
        <v/>
      </c>
      <c r="K12" s="200">
        <v>9</v>
      </c>
      <c r="L12" s="133">
        <f t="shared" si="4"/>
        <v>0</v>
      </c>
      <c r="M12" s="135" t="s">
        <v>5</v>
      </c>
      <c r="O12" s="203" t="s">
        <v>36</v>
      </c>
      <c r="P12" s="203" t="s">
        <v>37</v>
      </c>
      <c r="Q12" s="203" t="s">
        <v>38</v>
      </c>
      <c r="R12" s="203" t="s">
        <v>39</v>
      </c>
      <c r="S12" s="203" t="s">
        <v>40</v>
      </c>
      <c r="T12" s="203" t="s">
        <v>41</v>
      </c>
      <c r="U12" s="203" t="s">
        <v>42</v>
      </c>
      <c r="V12" s="203" t="s">
        <v>43</v>
      </c>
      <c r="W12" s="203" t="s">
        <v>44</v>
      </c>
      <c r="X12" s="203" t="s">
        <v>45</v>
      </c>
      <c r="Y12" s="203" t="s">
        <v>46</v>
      </c>
      <c r="Z12" s="203" t="s">
        <v>47</v>
      </c>
      <c r="AA12" s="221">
        <f>IF(O14+AA13&lt;&gt;H48,1,0)</f>
        <v>0</v>
      </c>
    </row>
    <row r="13" spans="1:28" ht="13.35" customHeight="1">
      <c r="A13" s="50" t="s">
        <v>5</v>
      </c>
      <c r="B13" s="141"/>
      <c r="C13" s="80"/>
      <c r="D13" s="93"/>
      <c r="E13" s="226"/>
      <c r="F13" s="89"/>
      <c r="G13" s="81"/>
      <c r="H13" s="82"/>
      <c r="I13" s="83" t="str">
        <f t="shared" si="2"/>
        <v/>
      </c>
      <c r="J13" s="361" t="str">
        <f t="shared" si="3"/>
        <v/>
      </c>
      <c r="K13" s="200">
        <v>10</v>
      </c>
      <c r="L13" s="133">
        <f t="shared" si="4"/>
        <v>0</v>
      </c>
      <c r="M13" s="135" t="s">
        <v>5</v>
      </c>
      <c r="O13" s="187">
        <f>SUMIF($L$3:$L$47,1,$I$3:$I$47)</f>
        <v>0</v>
      </c>
      <c r="P13" s="187">
        <f>SUMIF($L$3:$L$47,2,$I$3:$I$47)</f>
        <v>0</v>
      </c>
      <c r="Q13" s="187">
        <f>SUMIF($L$3:$L$47,3,$I$3:$I$47)</f>
        <v>0</v>
      </c>
      <c r="R13" s="187">
        <f>SUMIF($L$3:$L$47,4,$I$3:$I$47)</f>
        <v>0</v>
      </c>
      <c r="S13" s="187">
        <f>SUMIF($L$3:$L$47,5,$I$3:$I$47)</f>
        <v>0</v>
      </c>
      <c r="T13" s="187">
        <f>SUMIF($L$3:$L$47,6,$I$3:$I$47)</f>
        <v>0</v>
      </c>
      <c r="U13" s="187">
        <f>SUMIF($L$3:$L$47,7,$I$3:$I$47)</f>
        <v>0</v>
      </c>
      <c r="V13" s="187">
        <f>SUMIF($L$3:$L$47,8,$I$3:$I$47)</f>
        <v>0</v>
      </c>
      <c r="W13" s="187">
        <f>SUMIF($L$3:$L$47,9,$I$3:$I$47)</f>
        <v>0</v>
      </c>
      <c r="X13" s="187">
        <f>SUMIF($L$3:$L$47,10,$I$3:$I$47)</f>
        <v>0</v>
      </c>
      <c r="Y13" s="187">
        <f>SUMIF($L$3:$L$47,11,$I$3:$I$47)</f>
        <v>0</v>
      </c>
      <c r="Z13" s="187">
        <f>SUMIF($L$3:$L$47,12,$I$3:$I$47)</f>
        <v>0</v>
      </c>
      <c r="AA13" s="1220">
        <f>SUMIF($L$3:$L$47,0,$I$3:$I$47)</f>
        <v>0</v>
      </c>
      <c r="AB13" s="1221"/>
    </row>
    <row r="14" spans="1:28" ht="13.35" customHeight="1">
      <c r="A14" s="50" t="s">
        <v>5</v>
      </c>
      <c r="B14" s="141"/>
      <c r="C14" s="80"/>
      <c r="D14" s="93"/>
      <c r="E14" s="226"/>
      <c r="F14" s="89"/>
      <c r="G14" s="81"/>
      <c r="H14" s="82"/>
      <c r="I14" s="83" t="str">
        <f t="shared" si="2"/>
        <v/>
      </c>
      <c r="J14" s="361" t="str">
        <f t="shared" si="3"/>
        <v/>
      </c>
      <c r="K14" s="200">
        <v>11</v>
      </c>
      <c r="L14" s="133">
        <f t="shared" si="4"/>
        <v>0</v>
      </c>
      <c r="M14" s="135" t="s">
        <v>5</v>
      </c>
      <c r="O14" s="1299">
        <f>SUM(O13:Z13)</f>
        <v>0</v>
      </c>
      <c r="P14" s="1300"/>
      <c r="Q14" s="1300"/>
      <c r="R14" s="1300"/>
      <c r="S14" s="1300"/>
      <c r="T14" s="1300"/>
      <c r="U14" s="1300"/>
      <c r="V14" s="1300"/>
      <c r="W14" s="1300"/>
      <c r="X14" s="1300"/>
      <c r="Y14" s="1300"/>
      <c r="Z14" s="1301"/>
      <c r="AA14" s="1222">
        <f>SUM(O13:Z13)+AA13</f>
        <v>0</v>
      </c>
      <c r="AB14" s="1223"/>
    </row>
    <row r="15" spans="1:28" ht="13.35" customHeight="1">
      <c r="A15" s="50" t="s">
        <v>5</v>
      </c>
      <c r="B15" s="141"/>
      <c r="C15" s="260"/>
      <c r="D15" s="93"/>
      <c r="E15" s="226"/>
      <c r="F15" s="89"/>
      <c r="G15" s="81"/>
      <c r="H15" s="82"/>
      <c r="I15" s="83" t="str">
        <f t="shared" si="2"/>
        <v/>
      </c>
      <c r="J15" s="361" t="str">
        <f t="shared" si="3"/>
        <v/>
      </c>
      <c r="K15" s="200">
        <v>12</v>
      </c>
      <c r="L15" s="133">
        <f t="shared" si="4"/>
        <v>0</v>
      </c>
      <c r="M15" s="135" t="s">
        <v>5</v>
      </c>
      <c r="O15" s="244"/>
      <c r="P15" s="244"/>
      <c r="Q15" s="244"/>
      <c r="R15" s="244"/>
      <c r="S15" s="244"/>
      <c r="T15" s="244"/>
      <c r="U15" s="244"/>
      <c r="V15" s="244"/>
      <c r="W15" s="244"/>
      <c r="X15" s="244"/>
      <c r="Y15" s="244"/>
      <c r="Z15" s="244"/>
      <c r="AA15" s="244"/>
      <c r="AB15" s="244"/>
    </row>
    <row r="16" spans="1:28" ht="13.35" customHeight="1">
      <c r="A16" s="50" t="s">
        <v>5</v>
      </c>
      <c r="B16" s="141"/>
      <c r="C16" s="80"/>
      <c r="D16" s="93"/>
      <c r="E16" s="226"/>
      <c r="F16" s="89"/>
      <c r="G16" s="81"/>
      <c r="H16" s="82"/>
      <c r="I16" s="83" t="str">
        <f t="shared" si="2"/>
        <v/>
      </c>
      <c r="J16" s="361" t="str">
        <f t="shared" si="3"/>
        <v/>
      </c>
      <c r="K16" s="200">
        <v>13</v>
      </c>
      <c r="L16" s="133">
        <f t="shared" si="4"/>
        <v>0</v>
      </c>
      <c r="M16" s="135" t="s">
        <v>5</v>
      </c>
      <c r="O16" s="244"/>
      <c r="P16" s="244"/>
      <c r="Q16" s="244"/>
      <c r="R16" s="244"/>
      <c r="S16" s="244"/>
      <c r="T16" s="244"/>
      <c r="U16" s="244"/>
      <c r="V16" s="244"/>
      <c r="W16" s="244"/>
      <c r="X16" s="244"/>
      <c r="Y16" s="244"/>
      <c r="Z16" s="244"/>
      <c r="AA16" s="244"/>
      <c r="AB16" s="244"/>
    </row>
    <row r="17" spans="1:28" ht="13.35" customHeight="1">
      <c r="A17" s="50" t="s">
        <v>5</v>
      </c>
      <c r="B17" s="141"/>
      <c r="C17" s="80"/>
      <c r="D17" s="93"/>
      <c r="E17" s="226"/>
      <c r="F17" s="89"/>
      <c r="G17" s="81"/>
      <c r="H17" s="82"/>
      <c r="I17" s="83" t="str">
        <f t="shared" si="2"/>
        <v/>
      </c>
      <c r="J17" s="361" t="str">
        <f t="shared" si="3"/>
        <v/>
      </c>
      <c r="K17" s="200">
        <v>14</v>
      </c>
      <c r="L17" s="133">
        <f t="shared" si="4"/>
        <v>0</v>
      </c>
      <c r="M17" s="135" t="s">
        <v>5</v>
      </c>
      <c r="O17" s="244"/>
      <c r="P17" s="244"/>
      <c r="Q17" s="244"/>
      <c r="R17" s="244"/>
      <c r="S17" s="244"/>
      <c r="T17" s="244"/>
      <c r="U17" s="244"/>
      <c r="V17" s="244"/>
      <c r="W17" s="244"/>
      <c r="X17" s="244"/>
      <c r="Y17" s="244"/>
      <c r="Z17" s="244"/>
      <c r="AA17" s="244"/>
      <c r="AB17" s="244"/>
    </row>
    <row r="18" spans="1:28" ht="13.35" customHeight="1">
      <c r="A18" s="50" t="s">
        <v>5</v>
      </c>
      <c r="B18" s="141"/>
      <c r="C18" s="80"/>
      <c r="D18" s="93"/>
      <c r="E18" s="226"/>
      <c r="F18" s="89"/>
      <c r="G18" s="81"/>
      <c r="H18" s="82"/>
      <c r="I18" s="83" t="str">
        <f t="shared" si="2"/>
        <v/>
      </c>
      <c r="J18" s="361" t="str">
        <f t="shared" si="3"/>
        <v/>
      </c>
      <c r="K18" s="200">
        <v>15</v>
      </c>
      <c r="L18" s="133">
        <f t="shared" si="4"/>
        <v>0</v>
      </c>
      <c r="M18" s="135" t="s">
        <v>5</v>
      </c>
      <c r="O18" s="244"/>
      <c r="P18" s="244"/>
      <c r="Q18" s="244"/>
      <c r="R18" s="244"/>
      <c r="S18" s="244"/>
      <c r="T18" s="244"/>
      <c r="U18" s="244"/>
      <c r="V18" s="244"/>
      <c r="W18" s="244"/>
      <c r="X18" s="244"/>
      <c r="Y18" s="244"/>
      <c r="Z18" s="244"/>
      <c r="AA18" s="244"/>
      <c r="AB18" s="244"/>
    </row>
    <row r="19" spans="1:28" ht="13.35" customHeight="1">
      <c r="A19" s="50" t="s">
        <v>5</v>
      </c>
      <c r="B19" s="141"/>
      <c r="C19" s="80"/>
      <c r="D19" s="93"/>
      <c r="E19" s="226"/>
      <c r="F19" s="89"/>
      <c r="G19" s="81"/>
      <c r="H19" s="82"/>
      <c r="I19" s="83" t="str">
        <f t="shared" si="2"/>
        <v/>
      </c>
      <c r="J19" s="361" t="str">
        <f t="shared" si="3"/>
        <v/>
      </c>
      <c r="K19" s="200">
        <v>16</v>
      </c>
      <c r="L19" s="133">
        <f t="shared" si="4"/>
        <v>0</v>
      </c>
      <c r="M19" s="135" t="s">
        <v>5</v>
      </c>
      <c r="O19" s="244"/>
      <c r="P19" s="244"/>
      <c r="Q19" s="244"/>
      <c r="R19" s="244"/>
      <c r="S19" s="244"/>
      <c r="T19" s="244"/>
      <c r="U19" s="244"/>
      <c r="V19" s="244"/>
      <c r="W19" s="244"/>
      <c r="X19" s="244"/>
      <c r="Y19" s="244"/>
      <c r="Z19" s="244"/>
      <c r="AA19" s="244"/>
      <c r="AB19" s="244"/>
    </row>
    <row r="20" spans="1:28" ht="13.35" customHeight="1">
      <c r="A20" s="50" t="s">
        <v>5</v>
      </c>
      <c r="B20" s="141"/>
      <c r="C20" s="80"/>
      <c r="D20" s="93"/>
      <c r="E20" s="226"/>
      <c r="F20" s="89"/>
      <c r="G20" s="81"/>
      <c r="H20" s="82"/>
      <c r="I20" s="83" t="str">
        <f t="shared" si="2"/>
        <v/>
      </c>
      <c r="J20" s="361" t="str">
        <f t="shared" si="3"/>
        <v/>
      </c>
      <c r="K20" s="200">
        <v>17</v>
      </c>
      <c r="L20" s="133">
        <f t="shared" si="4"/>
        <v>0</v>
      </c>
      <c r="M20" s="135" t="s">
        <v>5</v>
      </c>
      <c r="O20" s="244"/>
      <c r="P20" s="244"/>
      <c r="Q20" s="244"/>
      <c r="R20" s="244"/>
      <c r="S20" s="244"/>
      <c r="T20" s="244"/>
      <c r="U20" s="244"/>
      <c r="V20" s="244"/>
      <c r="W20" s="244"/>
      <c r="X20" s="244"/>
      <c r="Y20" s="244"/>
      <c r="Z20" s="244"/>
      <c r="AA20" s="244"/>
      <c r="AB20" s="244"/>
    </row>
    <row r="21" spans="1:28" ht="13.35" customHeight="1">
      <c r="A21" s="50" t="s">
        <v>5</v>
      </c>
      <c r="B21" s="141"/>
      <c r="C21" s="80"/>
      <c r="D21" s="93"/>
      <c r="E21" s="226"/>
      <c r="F21" s="89"/>
      <c r="G21" s="81"/>
      <c r="H21" s="82"/>
      <c r="I21" s="83" t="str">
        <f t="shared" si="2"/>
        <v/>
      </c>
      <c r="J21" s="361" t="str">
        <f t="shared" si="3"/>
        <v/>
      </c>
      <c r="K21" s="200">
        <v>18</v>
      </c>
      <c r="L21" s="133">
        <f t="shared" si="4"/>
        <v>0</v>
      </c>
      <c r="M21" s="135" t="s">
        <v>5</v>
      </c>
      <c r="O21" s="244"/>
      <c r="P21" s="244"/>
      <c r="Q21" s="244"/>
      <c r="R21" s="244"/>
      <c r="S21" s="244"/>
      <c r="T21" s="244"/>
      <c r="U21" s="244"/>
      <c r="V21" s="244"/>
      <c r="W21" s="244"/>
      <c r="X21" s="244"/>
      <c r="Y21" s="244"/>
      <c r="Z21" s="244"/>
      <c r="AA21" s="244"/>
      <c r="AB21" s="244"/>
    </row>
    <row r="22" spans="1:28" ht="13.35" customHeight="1">
      <c r="A22" s="50" t="s">
        <v>5</v>
      </c>
      <c r="B22" s="141"/>
      <c r="C22" s="80"/>
      <c r="D22" s="93"/>
      <c r="E22" s="226"/>
      <c r="F22" s="89"/>
      <c r="G22" s="81"/>
      <c r="H22" s="82"/>
      <c r="I22" s="83" t="str">
        <f t="shared" si="2"/>
        <v/>
      </c>
      <c r="J22" s="361" t="str">
        <f t="shared" si="3"/>
        <v/>
      </c>
      <c r="K22" s="200">
        <v>19</v>
      </c>
      <c r="L22" s="133">
        <f t="shared" si="4"/>
        <v>0</v>
      </c>
      <c r="M22" s="135" t="s">
        <v>5</v>
      </c>
      <c r="O22" s="244"/>
      <c r="P22" s="244"/>
      <c r="Q22" s="244"/>
      <c r="R22" s="244"/>
      <c r="S22" s="244"/>
      <c r="T22" s="244"/>
      <c r="U22" s="244"/>
      <c r="V22" s="244"/>
      <c r="W22" s="244"/>
      <c r="X22" s="244"/>
      <c r="Y22" s="244"/>
      <c r="Z22" s="244"/>
      <c r="AA22" s="244"/>
      <c r="AB22" s="244"/>
    </row>
    <row r="23" spans="1:28" ht="13.35" customHeight="1">
      <c r="A23" s="50" t="s">
        <v>5</v>
      </c>
      <c r="B23" s="141"/>
      <c r="C23" s="80"/>
      <c r="D23" s="94"/>
      <c r="E23" s="226"/>
      <c r="F23" s="89"/>
      <c r="G23" s="81"/>
      <c r="H23" s="82"/>
      <c r="I23" s="83" t="str">
        <f t="shared" si="2"/>
        <v/>
      </c>
      <c r="J23" s="361" t="str">
        <f t="shared" si="3"/>
        <v/>
      </c>
      <c r="K23" s="200">
        <v>20</v>
      </c>
      <c r="L23" s="133">
        <f t="shared" si="4"/>
        <v>0</v>
      </c>
      <c r="M23" s="135" t="s">
        <v>5</v>
      </c>
      <c r="O23" s="244"/>
      <c r="P23" s="244"/>
      <c r="Q23" s="244"/>
      <c r="R23" s="244"/>
      <c r="S23" s="244"/>
      <c r="T23" s="244"/>
      <c r="U23" s="244"/>
      <c r="V23" s="244"/>
      <c r="W23" s="244"/>
      <c r="X23" s="244"/>
      <c r="Y23" s="244"/>
      <c r="Z23" s="244"/>
      <c r="AA23" s="244"/>
      <c r="AB23" s="244"/>
    </row>
    <row r="24" spans="1:28" ht="13.35" customHeight="1">
      <c r="A24" s="50" t="s">
        <v>5</v>
      </c>
      <c r="B24" s="141"/>
      <c r="C24" s="80"/>
      <c r="D24" s="93"/>
      <c r="E24" s="226"/>
      <c r="F24" s="89"/>
      <c r="G24" s="81"/>
      <c r="H24" s="82"/>
      <c r="I24" s="83" t="str">
        <f t="shared" si="2"/>
        <v/>
      </c>
      <c r="J24" s="361" t="str">
        <f t="shared" si="3"/>
        <v/>
      </c>
      <c r="K24" s="200">
        <v>21</v>
      </c>
      <c r="L24" s="133">
        <f t="shared" si="4"/>
        <v>0</v>
      </c>
      <c r="M24" s="135" t="s">
        <v>5</v>
      </c>
      <c r="O24" s="244"/>
      <c r="P24" s="244"/>
      <c r="Q24" s="244"/>
      <c r="R24" s="244"/>
      <c r="S24" s="244"/>
      <c r="T24" s="244"/>
      <c r="U24" s="244"/>
      <c r="V24" s="244"/>
      <c r="W24" s="244"/>
      <c r="X24" s="244"/>
      <c r="Y24" s="244"/>
      <c r="Z24" s="244"/>
      <c r="AA24" s="244"/>
      <c r="AB24" s="244"/>
    </row>
    <row r="25" spans="1:28" ht="13.35" customHeight="1">
      <c r="A25" s="50" t="s">
        <v>5</v>
      </c>
      <c r="B25" s="141"/>
      <c r="C25" s="80"/>
      <c r="D25" s="93"/>
      <c r="E25" s="226"/>
      <c r="F25" s="89"/>
      <c r="G25" s="81"/>
      <c r="H25" s="82"/>
      <c r="I25" s="83" t="str">
        <f t="shared" si="2"/>
        <v/>
      </c>
      <c r="J25" s="361" t="str">
        <f t="shared" si="3"/>
        <v/>
      </c>
      <c r="K25" s="200">
        <v>22</v>
      </c>
      <c r="L25" s="133">
        <f t="shared" si="4"/>
        <v>0</v>
      </c>
      <c r="M25" s="135" t="s">
        <v>5</v>
      </c>
      <c r="O25" s="244"/>
      <c r="P25" s="244"/>
      <c r="Q25" s="244"/>
      <c r="R25" s="244"/>
      <c r="S25" s="244"/>
      <c r="T25" s="244"/>
      <c r="U25" s="244"/>
      <c r="V25" s="244"/>
      <c r="W25" s="244"/>
      <c r="X25" s="244"/>
      <c r="Y25" s="244"/>
      <c r="Z25" s="244"/>
      <c r="AA25" s="244"/>
      <c r="AB25" s="244"/>
    </row>
    <row r="26" spans="1:28" ht="13.35" customHeight="1">
      <c r="A26" s="50" t="s">
        <v>5</v>
      </c>
      <c r="B26" s="141"/>
      <c r="C26" s="80"/>
      <c r="D26" s="93"/>
      <c r="E26" s="226"/>
      <c r="F26" s="89"/>
      <c r="G26" s="81"/>
      <c r="H26" s="82"/>
      <c r="I26" s="83" t="str">
        <f t="shared" si="2"/>
        <v/>
      </c>
      <c r="J26" s="361" t="str">
        <f t="shared" si="3"/>
        <v/>
      </c>
      <c r="K26" s="200">
        <v>23</v>
      </c>
      <c r="L26" s="133">
        <f t="shared" si="4"/>
        <v>0</v>
      </c>
      <c r="M26" s="135" t="s">
        <v>5</v>
      </c>
      <c r="O26" s="244"/>
      <c r="P26" s="244"/>
      <c r="Q26" s="244"/>
      <c r="R26" s="244"/>
      <c r="S26" s="244"/>
      <c r="T26" s="244"/>
      <c r="U26" s="244"/>
      <c r="V26" s="244"/>
      <c r="W26" s="244"/>
      <c r="X26" s="244"/>
      <c r="Y26" s="244"/>
      <c r="Z26" s="244"/>
      <c r="AA26" s="244"/>
      <c r="AB26" s="244"/>
    </row>
    <row r="27" spans="1:28" ht="13.35" customHeight="1">
      <c r="A27" s="50" t="s">
        <v>5</v>
      </c>
      <c r="B27" s="141"/>
      <c r="C27" s="80"/>
      <c r="D27" s="93"/>
      <c r="E27" s="226"/>
      <c r="F27" s="89"/>
      <c r="G27" s="81"/>
      <c r="H27" s="82"/>
      <c r="I27" s="83" t="str">
        <f t="shared" si="2"/>
        <v/>
      </c>
      <c r="J27" s="361" t="str">
        <f t="shared" si="3"/>
        <v/>
      </c>
      <c r="K27" s="200">
        <v>24</v>
      </c>
      <c r="L27" s="133">
        <f t="shared" si="4"/>
        <v>0</v>
      </c>
      <c r="M27" s="135" t="s">
        <v>5</v>
      </c>
      <c r="O27" s="244"/>
      <c r="P27" s="244"/>
      <c r="Q27" s="244"/>
      <c r="R27" s="244"/>
      <c r="S27" s="244"/>
      <c r="T27" s="244"/>
      <c r="U27" s="244"/>
      <c r="V27" s="244"/>
      <c r="W27" s="244"/>
      <c r="X27" s="244"/>
      <c r="Y27" s="244"/>
      <c r="Z27" s="244"/>
      <c r="AA27" s="244"/>
      <c r="AB27" s="244"/>
    </row>
    <row r="28" spans="1:28" ht="13.35" customHeight="1">
      <c r="A28" s="50" t="s">
        <v>5</v>
      </c>
      <c r="B28" s="141"/>
      <c r="C28" s="80"/>
      <c r="D28" s="93"/>
      <c r="E28" s="226"/>
      <c r="F28" s="89"/>
      <c r="G28" s="81"/>
      <c r="H28" s="82"/>
      <c r="I28" s="83" t="str">
        <f t="shared" si="2"/>
        <v/>
      </c>
      <c r="J28" s="361" t="str">
        <f t="shared" si="3"/>
        <v/>
      </c>
      <c r="K28" s="200">
        <v>25</v>
      </c>
      <c r="L28" s="133">
        <f t="shared" si="4"/>
        <v>0</v>
      </c>
      <c r="M28" s="135" t="s">
        <v>5</v>
      </c>
      <c r="O28" s="244"/>
      <c r="P28" s="244"/>
      <c r="Q28" s="244"/>
      <c r="R28" s="244"/>
      <c r="S28" s="244"/>
      <c r="T28" s="244"/>
      <c r="U28" s="244"/>
      <c r="V28" s="244"/>
      <c r="W28" s="244"/>
      <c r="X28" s="244"/>
      <c r="Y28" s="244"/>
      <c r="Z28" s="244"/>
      <c r="AA28" s="244"/>
      <c r="AB28" s="244"/>
    </row>
    <row r="29" spans="1:28" ht="13.35" customHeight="1">
      <c r="A29" s="50" t="s">
        <v>5</v>
      </c>
      <c r="B29" s="141"/>
      <c r="C29" s="80"/>
      <c r="D29" s="93"/>
      <c r="E29" s="226"/>
      <c r="F29" s="89"/>
      <c r="G29" s="81"/>
      <c r="H29" s="82"/>
      <c r="I29" s="83" t="str">
        <f t="shared" si="2"/>
        <v/>
      </c>
      <c r="J29" s="361" t="str">
        <f t="shared" si="3"/>
        <v/>
      </c>
      <c r="K29" s="200">
        <v>26</v>
      </c>
      <c r="L29" s="133">
        <f t="shared" si="4"/>
        <v>0</v>
      </c>
      <c r="M29" s="135" t="s">
        <v>5</v>
      </c>
      <c r="O29" s="244"/>
      <c r="P29" s="244"/>
      <c r="Q29" s="244"/>
      <c r="R29" s="244"/>
      <c r="S29" s="244"/>
      <c r="T29" s="244"/>
      <c r="U29" s="244"/>
      <c r="V29" s="244"/>
      <c r="W29" s="244"/>
      <c r="X29" s="244"/>
      <c r="Y29" s="244"/>
      <c r="Z29" s="244"/>
      <c r="AA29" s="244"/>
      <c r="AB29" s="244"/>
    </row>
    <row r="30" spans="1:28" ht="13.35" customHeight="1">
      <c r="A30" s="50" t="s">
        <v>5</v>
      </c>
      <c r="B30" s="141"/>
      <c r="C30" s="80"/>
      <c r="D30" s="93"/>
      <c r="E30" s="226"/>
      <c r="F30" s="89"/>
      <c r="G30" s="81"/>
      <c r="H30" s="82"/>
      <c r="I30" s="83" t="str">
        <f t="shared" si="2"/>
        <v/>
      </c>
      <c r="J30" s="361" t="str">
        <f t="shared" si="3"/>
        <v/>
      </c>
      <c r="K30" s="200">
        <v>27</v>
      </c>
      <c r="L30" s="133">
        <f t="shared" si="4"/>
        <v>0</v>
      </c>
      <c r="M30" s="135" t="s">
        <v>5</v>
      </c>
      <c r="O30" s="244"/>
      <c r="P30" s="244"/>
      <c r="Q30" s="244"/>
      <c r="R30" s="244"/>
      <c r="S30" s="244"/>
      <c r="T30" s="244"/>
      <c r="U30" s="244"/>
      <c r="V30" s="244"/>
      <c r="W30" s="244"/>
      <c r="X30" s="244"/>
      <c r="Y30" s="244"/>
      <c r="Z30" s="244"/>
      <c r="AA30" s="244"/>
      <c r="AB30" s="244"/>
    </row>
    <row r="31" spans="1:28" ht="13.35" customHeight="1">
      <c r="A31" s="50" t="s">
        <v>5</v>
      </c>
      <c r="B31" s="141"/>
      <c r="C31" s="80"/>
      <c r="D31" s="93"/>
      <c r="E31" s="226"/>
      <c r="F31" s="89"/>
      <c r="G31" s="81"/>
      <c r="H31" s="82"/>
      <c r="I31" s="83" t="str">
        <f t="shared" si="2"/>
        <v/>
      </c>
      <c r="J31" s="361" t="str">
        <f t="shared" si="3"/>
        <v/>
      </c>
      <c r="K31" s="200">
        <v>28</v>
      </c>
      <c r="L31" s="133">
        <f t="shared" si="4"/>
        <v>0</v>
      </c>
      <c r="M31" s="135" t="s">
        <v>5</v>
      </c>
      <c r="O31" s="244"/>
      <c r="P31" s="244"/>
      <c r="Q31" s="244"/>
      <c r="R31" s="244"/>
      <c r="S31" s="244"/>
      <c r="T31" s="244"/>
      <c r="U31" s="244"/>
      <c r="V31" s="244"/>
      <c r="W31" s="244"/>
      <c r="X31" s="244"/>
      <c r="Y31" s="244"/>
      <c r="Z31" s="244"/>
      <c r="AA31" s="244"/>
      <c r="AB31" s="244"/>
    </row>
    <row r="32" spans="1:28" ht="13.35" customHeight="1">
      <c r="A32" s="50" t="s">
        <v>5</v>
      </c>
      <c r="B32" s="141"/>
      <c r="C32" s="80"/>
      <c r="D32" s="93"/>
      <c r="E32" s="226"/>
      <c r="F32" s="89"/>
      <c r="G32" s="81"/>
      <c r="H32" s="82"/>
      <c r="I32" s="83" t="str">
        <f t="shared" si="2"/>
        <v/>
      </c>
      <c r="J32" s="361" t="str">
        <f t="shared" si="3"/>
        <v/>
      </c>
      <c r="K32" s="200">
        <v>29</v>
      </c>
      <c r="L32" s="133">
        <f t="shared" si="4"/>
        <v>0</v>
      </c>
      <c r="M32" s="135" t="s">
        <v>5</v>
      </c>
      <c r="O32" s="244"/>
      <c r="P32" s="244"/>
      <c r="Q32" s="244"/>
      <c r="R32" s="244"/>
      <c r="S32" s="244"/>
      <c r="T32" s="244"/>
      <c r="U32" s="244"/>
      <c r="V32" s="244"/>
      <c r="W32" s="244"/>
      <c r="X32" s="244"/>
      <c r="Y32" s="244"/>
      <c r="Z32" s="244"/>
      <c r="AA32" s="244"/>
      <c r="AB32" s="244"/>
    </row>
    <row r="33" spans="1:28" ht="13.35" customHeight="1">
      <c r="A33" s="50" t="s">
        <v>5</v>
      </c>
      <c r="B33" s="141"/>
      <c r="C33" s="80"/>
      <c r="D33" s="93"/>
      <c r="E33" s="226"/>
      <c r="F33" s="89"/>
      <c r="G33" s="81"/>
      <c r="H33" s="82"/>
      <c r="I33" s="83" t="str">
        <f t="shared" si="2"/>
        <v/>
      </c>
      <c r="J33" s="361" t="str">
        <f t="shared" si="3"/>
        <v/>
      </c>
      <c r="K33" s="200">
        <v>30</v>
      </c>
      <c r="L33" s="133">
        <f t="shared" si="4"/>
        <v>0</v>
      </c>
      <c r="M33" s="135" t="s">
        <v>5</v>
      </c>
      <c r="O33" s="244"/>
      <c r="P33" s="244"/>
      <c r="Q33" s="244"/>
      <c r="R33" s="244"/>
      <c r="S33" s="244"/>
      <c r="T33" s="244"/>
      <c r="U33" s="244"/>
      <c r="V33" s="244"/>
      <c r="W33" s="244"/>
      <c r="X33" s="244"/>
      <c r="Y33" s="244"/>
      <c r="Z33" s="244"/>
      <c r="AA33" s="244"/>
      <c r="AB33" s="244"/>
    </row>
    <row r="34" spans="1:28" ht="13.35" customHeight="1">
      <c r="A34" s="50" t="s">
        <v>5</v>
      </c>
      <c r="B34" s="141"/>
      <c r="C34" s="80"/>
      <c r="D34" s="93"/>
      <c r="E34" s="226"/>
      <c r="F34" s="89"/>
      <c r="G34" s="81"/>
      <c r="H34" s="82"/>
      <c r="I34" s="83" t="str">
        <f t="shared" si="2"/>
        <v/>
      </c>
      <c r="J34" s="361" t="str">
        <f t="shared" si="3"/>
        <v/>
      </c>
      <c r="K34" s="200">
        <v>31</v>
      </c>
      <c r="L34" s="133">
        <f t="shared" si="4"/>
        <v>0</v>
      </c>
      <c r="M34" s="135" t="s">
        <v>5</v>
      </c>
      <c r="O34" s="244"/>
      <c r="P34" s="244"/>
      <c r="Q34" s="244"/>
      <c r="R34" s="244"/>
      <c r="S34" s="244"/>
      <c r="T34" s="244"/>
      <c r="U34" s="244"/>
      <c r="V34" s="244"/>
      <c r="W34" s="244"/>
      <c r="X34" s="244"/>
      <c r="Y34" s="244"/>
      <c r="Z34" s="244"/>
      <c r="AA34" s="244"/>
      <c r="AB34" s="244"/>
    </row>
    <row r="35" spans="1:28" ht="13.35" customHeight="1">
      <c r="A35" s="50" t="s">
        <v>5</v>
      </c>
      <c r="B35" s="141"/>
      <c r="C35" s="80"/>
      <c r="D35" s="93"/>
      <c r="E35" s="226"/>
      <c r="F35" s="89"/>
      <c r="G35" s="81"/>
      <c r="H35" s="82"/>
      <c r="I35" s="83" t="str">
        <f t="shared" si="2"/>
        <v/>
      </c>
      <c r="J35" s="361" t="str">
        <f t="shared" si="3"/>
        <v/>
      </c>
      <c r="K35" s="200">
        <v>32</v>
      </c>
      <c r="L35" s="133">
        <f t="shared" si="4"/>
        <v>0</v>
      </c>
      <c r="M35" s="135" t="s">
        <v>5</v>
      </c>
      <c r="O35" s="244"/>
      <c r="P35" s="244"/>
      <c r="Q35" s="244"/>
      <c r="R35" s="244"/>
      <c r="S35" s="244"/>
      <c r="T35" s="244"/>
      <c r="U35" s="244"/>
      <c r="V35" s="244"/>
      <c r="W35" s="244"/>
      <c r="X35" s="244"/>
      <c r="Y35" s="244"/>
      <c r="Z35" s="244"/>
      <c r="AA35" s="244"/>
      <c r="AB35" s="244"/>
    </row>
    <row r="36" spans="1:28" ht="13.35" customHeight="1">
      <c r="A36" s="50" t="s">
        <v>5</v>
      </c>
      <c r="B36" s="141"/>
      <c r="C36" s="80"/>
      <c r="D36" s="93"/>
      <c r="E36" s="226"/>
      <c r="F36" s="89"/>
      <c r="G36" s="81"/>
      <c r="H36" s="82"/>
      <c r="I36" s="83" t="str">
        <f t="shared" si="2"/>
        <v/>
      </c>
      <c r="J36" s="361" t="str">
        <f t="shared" si="3"/>
        <v/>
      </c>
      <c r="K36" s="200">
        <v>33</v>
      </c>
      <c r="L36" s="133">
        <f t="shared" si="4"/>
        <v>0</v>
      </c>
      <c r="M36" s="135" t="s">
        <v>5</v>
      </c>
      <c r="O36" s="244"/>
      <c r="P36" s="244"/>
      <c r="Q36" s="244"/>
      <c r="R36" s="244"/>
      <c r="S36" s="244"/>
      <c r="T36" s="244"/>
      <c r="U36" s="244"/>
      <c r="V36" s="244"/>
      <c r="W36" s="244"/>
      <c r="X36" s="244"/>
      <c r="Y36" s="244"/>
      <c r="Z36" s="244"/>
      <c r="AA36" s="244"/>
      <c r="AB36" s="244"/>
    </row>
    <row r="37" spans="1:28" ht="13.35" customHeight="1">
      <c r="A37" s="50" t="s">
        <v>5</v>
      </c>
      <c r="B37" s="141"/>
      <c r="C37" s="80"/>
      <c r="D37" s="93"/>
      <c r="E37" s="226"/>
      <c r="F37" s="89"/>
      <c r="G37" s="81"/>
      <c r="H37" s="82"/>
      <c r="I37" s="83" t="str">
        <f t="shared" si="2"/>
        <v/>
      </c>
      <c r="J37" s="361" t="str">
        <f t="shared" si="3"/>
        <v/>
      </c>
      <c r="K37" s="200">
        <v>34</v>
      </c>
      <c r="L37" s="133">
        <f t="shared" si="4"/>
        <v>0</v>
      </c>
      <c r="M37" s="135" t="s">
        <v>5</v>
      </c>
      <c r="O37" s="244"/>
      <c r="P37" s="244"/>
      <c r="Q37" s="244"/>
      <c r="R37" s="244"/>
      <c r="S37" s="244"/>
      <c r="T37" s="244"/>
      <c r="U37" s="244"/>
      <c r="V37" s="244"/>
      <c r="W37" s="244"/>
      <c r="X37" s="244"/>
      <c r="Y37" s="244"/>
      <c r="Z37" s="244"/>
      <c r="AA37" s="244"/>
      <c r="AB37" s="244"/>
    </row>
    <row r="38" spans="1:28" ht="13.35" customHeight="1">
      <c r="A38" s="50" t="s">
        <v>5</v>
      </c>
      <c r="B38" s="141"/>
      <c r="C38" s="80"/>
      <c r="D38" s="93"/>
      <c r="E38" s="226"/>
      <c r="F38" s="89"/>
      <c r="G38" s="81"/>
      <c r="H38" s="82"/>
      <c r="I38" s="83" t="str">
        <f t="shared" si="2"/>
        <v/>
      </c>
      <c r="J38" s="361" t="str">
        <f t="shared" si="3"/>
        <v/>
      </c>
      <c r="K38" s="200">
        <v>35</v>
      </c>
      <c r="L38" s="133">
        <f t="shared" si="4"/>
        <v>0</v>
      </c>
      <c r="M38" s="135" t="s">
        <v>5</v>
      </c>
      <c r="O38" s="244"/>
      <c r="P38" s="244"/>
      <c r="Q38" s="244"/>
      <c r="R38" s="244"/>
      <c r="S38" s="244"/>
      <c r="T38" s="244"/>
      <c r="U38" s="244"/>
      <c r="V38" s="244"/>
      <c r="W38" s="244"/>
      <c r="X38" s="244"/>
      <c r="Y38" s="244"/>
      <c r="Z38" s="244"/>
      <c r="AA38" s="244"/>
      <c r="AB38" s="244"/>
    </row>
    <row r="39" spans="1:28" ht="13.35" customHeight="1">
      <c r="A39" s="50" t="s">
        <v>5</v>
      </c>
      <c r="B39" s="141"/>
      <c r="C39" s="80"/>
      <c r="D39" s="93"/>
      <c r="E39" s="226"/>
      <c r="F39" s="89"/>
      <c r="G39" s="81"/>
      <c r="H39" s="82"/>
      <c r="I39" s="83" t="str">
        <f t="shared" si="2"/>
        <v/>
      </c>
      <c r="J39" s="361" t="str">
        <f t="shared" si="3"/>
        <v/>
      </c>
      <c r="K39" s="200">
        <v>36</v>
      </c>
      <c r="L39" s="133">
        <f t="shared" si="4"/>
        <v>0</v>
      </c>
      <c r="M39" s="135" t="s">
        <v>5</v>
      </c>
      <c r="O39" s="244"/>
      <c r="P39" s="244"/>
      <c r="Q39" s="244"/>
      <c r="R39" s="244"/>
      <c r="S39" s="244"/>
      <c r="T39" s="244"/>
      <c r="U39" s="244"/>
      <c r="V39" s="244"/>
      <c r="W39" s="244"/>
      <c r="X39" s="244"/>
      <c r="Y39" s="244"/>
      <c r="Z39" s="244"/>
      <c r="AA39" s="244"/>
      <c r="AB39" s="244"/>
    </row>
    <row r="40" spans="1:28" ht="13.35" customHeight="1">
      <c r="A40" s="50" t="s">
        <v>5</v>
      </c>
      <c r="B40" s="141"/>
      <c r="C40" s="80"/>
      <c r="D40" s="93"/>
      <c r="E40" s="226"/>
      <c r="F40" s="89"/>
      <c r="G40" s="81"/>
      <c r="H40" s="82"/>
      <c r="I40" s="83" t="str">
        <f t="shared" si="2"/>
        <v/>
      </c>
      <c r="J40" s="361" t="str">
        <f t="shared" si="3"/>
        <v/>
      </c>
      <c r="K40" s="200">
        <v>37</v>
      </c>
      <c r="L40" s="133">
        <f t="shared" si="4"/>
        <v>0</v>
      </c>
      <c r="M40" s="135" t="s">
        <v>5</v>
      </c>
      <c r="O40" s="244"/>
      <c r="P40" s="244"/>
      <c r="Q40" s="244"/>
      <c r="R40" s="244"/>
      <c r="S40" s="244"/>
      <c r="T40" s="244"/>
      <c r="U40" s="244"/>
      <c r="V40" s="244"/>
      <c r="W40" s="244"/>
      <c r="X40" s="244"/>
      <c r="Y40" s="244"/>
      <c r="Z40" s="244"/>
      <c r="AA40" s="244"/>
      <c r="AB40" s="244"/>
    </row>
    <row r="41" spans="1:28" ht="13.35" customHeight="1">
      <c r="A41" s="50" t="s">
        <v>5</v>
      </c>
      <c r="B41" s="141"/>
      <c r="C41" s="80"/>
      <c r="D41" s="93"/>
      <c r="E41" s="226"/>
      <c r="F41" s="89"/>
      <c r="G41" s="81"/>
      <c r="H41" s="82"/>
      <c r="I41" s="83" t="str">
        <f t="shared" si="2"/>
        <v/>
      </c>
      <c r="J41" s="361" t="str">
        <f t="shared" si="3"/>
        <v/>
      </c>
      <c r="K41" s="200">
        <v>38</v>
      </c>
      <c r="L41" s="133">
        <f t="shared" si="4"/>
        <v>0</v>
      </c>
      <c r="M41" s="135" t="s">
        <v>5</v>
      </c>
      <c r="O41" s="244"/>
      <c r="P41" s="244"/>
      <c r="Q41" s="244"/>
      <c r="R41" s="244"/>
      <c r="S41" s="244"/>
      <c r="T41" s="244"/>
      <c r="U41" s="244"/>
      <c r="V41" s="244"/>
      <c r="W41" s="244"/>
      <c r="X41" s="244"/>
      <c r="Y41" s="244"/>
      <c r="Z41" s="244"/>
      <c r="AA41" s="244"/>
      <c r="AB41" s="244"/>
    </row>
    <row r="42" spans="1:28" ht="13.35" customHeight="1">
      <c r="A42" s="50" t="s">
        <v>5</v>
      </c>
      <c r="B42" s="141"/>
      <c r="C42" s="80"/>
      <c r="D42" s="93"/>
      <c r="E42" s="226"/>
      <c r="F42" s="89"/>
      <c r="G42" s="81"/>
      <c r="H42" s="82"/>
      <c r="I42" s="83" t="str">
        <f t="shared" si="2"/>
        <v/>
      </c>
      <c r="J42" s="361" t="str">
        <f t="shared" si="3"/>
        <v/>
      </c>
      <c r="K42" s="200">
        <v>39</v>
      </c>
      <c r="L42" s="133">
        <f t="shared" si="4"/>
        <v>0</v>
      </c>
      <c r="M42" s="135" t="s">
        <v>5</v>
      </c>
      <c r="O42" s="244"/>
      <c r="P42" s="244"/>
      <c r="Q42" s="244"/>
      <c r="R42" s="244"/>
      <c r="S42" s="244"/>
      <c r="T42" s="244"/>
      <c r="U42" s="244"/>
      <c r="V42" s="244"/>
      <c r="W42" s="244"/>
      <c r="X42" s="244"/>
      <c r="Y42" s="244"/>
      <c r="Z42" s="244"/>
      <c r="AA42" s="244"/>
      <c r="AB42" s="244"/>
    </row>
    <row r="43" spans="1:28" ht="13.35" customHeight="1">
      <c r="A43" s="50" t="s">
        <v>5</v>
      </c>
      <c r="B43" s="141"/>
      <c r="C43" s="80"/>
      <c r="D43" s="93"/>
      <c r="E43" s="226"/>
      <c r="F43" s="89"/>
      <c r="G43" s="81"/>
      <c r="H43" s="82"/>
      <c r="I43" s="83" t="str">
        <f t="shared" si="2"/>
        <v/>
      </c>
      <c r="J43" s="361" t="str">
        <f t="shared" si="3"/>
        <v/>
      </c>
      <c r="K43" s="200">
        <v>40</v>
      </c>
      <c r="L43" s="133">
        <f t="shared" si="4"/>
        <v>0</v>
      </c>
      <c r="M43" s="135" t="s">
        <v>5</v>
      </c>
      <c r="O43" s="244"/>
      <c r="P43" s="244"/>
      <c r="Q43" s="244"/>
      <c r="R43" s="244"/>
      <c r="S43" s="244"/>
      <c r="T43" s="244"/>
      <c r="U43" s="244"/>
      <c r="V43" s="244"/>
      <c r="W43" s="244"/>
      <c r="X43" s="244"/>
      <c r="Y43" s="244"/>
      <c r="Z43" s="244"/>
      <c r="AA43" s="244"/>
      <c r="AB43" s="244"/>
    </row>
    <row r="44" spans="1:28" ht="13.35" customHeight="1">
      <c r="A44" s="50" t="s">
        <v>5</v>
      </c>
      <c r="B44" s="141"/>
      <c r="C44" s="80"/>
      <c r="D44" s="93"/>
      <c r="E44" s="226"/>
      <c r="F44" s="89"/>
      <c r="G44" s="81"/>
      <c r="H44" s="82"/>
      <c r="I44" s="83" t="str">
        <f t="shared" si="2"/>
        <v/>
      </c>
      <c r="J44" s="361" t="str">
        <f t="shared" si="3"/>
        <v/>
      </c>
      <c r="K44" s="200">
        <v>41</v>
      </c>
      <c r="L44" s="133">
        <f t="shared" si="4"/>
        <v>0</v>
      </c>
      <c r="M44" s="135" t="s">
        <v>5</v>
      </c>
      <c r="O44" s="244"/>
      <c r="P44" s="244"/>
      <c r="Q44" s="244"/>
      <c r="R44" s="244"/>
      <c r="S44" s="244"/>
      <c r="T44" s="244"/>
      <c r="U44" s="244"/>
      <c r="V44" s="244"/>
      <c r="W44" s="244"/>
      <c r="X44" s="244"/>
      <c r="Y44" s="244"/>
      <c r="Z44" s="244"/>
      <c r="AA44" s="244"/>
      <c r="AB44" s="244"/>
    </row>
    <row r="45" spans="1:28" ht="13.35" customHeight="1">
      <c r="A45" s="50" t="s">
        <v>5</v>
      </c>
      <c r="B45" s="141"/>
      <c r="C45" s="80"/>
      <c r="D45" s="93"/>
      <c r="E45" s="226"/>
      <c r="F45" s="89"/>
      <c r="G45" s="81"/>
      <c r="H45" s="82"/>
      <c r="I45" s="83" t="str">
        <f t="shared" ref="I45:I46" si="7">IF(G45&lt;&gt;"",+G45-G45/(1+H45/100),"")</f>
        <v/>
      </c>
      <c r="J45" s="361" t="str">
        <f t="shared" ref="J45:J46" si="8">IF(G45&lt;&gt;0,+G45-I45,"")</f>
        <v/>
      </c>
      <c r="K45" s="200">
        <v>44</v>
      </c>
      <c r="L45" s="133">
        <f t="shared" ref="L45:L46" si="9">IF(B45&lt;$O$2,0,IF(B45&lt;$P$2,1,IF(B45&lt;$Q$2,2,IF(B45&lt;$R$2,3,IF(B45&lt;$S$2,4,IF(B45&lt;$T$2,5,IF(B45&lt;$U$2,6,IF(B45&lt;$V$2,7,IF(B45&lt;$W$2,8,IF(B45&lt;$X$2,9,IF(B45&lt;$Y$2,10,IF(B45&lt;$Z$2,11,IF(B45&lt;=$Z$3,12,0)))))))))))))</f>
        <v>0</v>
      </c>
      <c r="M45" s="135" t="s">
        <v>5</v>
      </c>
      <c r="O45" s="244"/>
      <c r="P45" s="244"/>
      <c r="Q45" s="244"/>
      <c r="R45" s="244"/>
      <c r="S45" s="244"/>
      <c r="T45" s="244"/>
      <c r="U45" s="244"/>
      <c r="V45" s="244"/>
      <c r="W45" s="244"/>
      <c r="X45" s="244"/>
      <c r="Y45" s="244"/>
      <c r="Z45" s="244"/>
      <c r="AA45" s="244"/>
      <c r="AB45" s="244"/>
    </row>
    <row r="46" spans="1:28" ht="13.35" customHeight="1" thickBot="1">
      <c r="A46" s="50" t="s">
        <v>5</v>
      </c>
      <c r="B46" s="141"/>
      <c r="C46" s="80"/>
      <c r="D46" s="93"/>
      <c r="E46" s="226"/>
      <c r="F46" s="89"/>
      <c r="G46" s="81"/>
      <c r="H46" s="82"/>
      <c r="I46" s="83" t="str">
        <f t="shared" si="7"/>
        <v/>
      </c>
      <c r="J46" s="361" t="str">
        <f t="shared" si="8"/>
        <v/>
      </c>
      <c r="K46" s="200">
        <v>45</v>
      </c>
      <c r="L46" s="133">
        <f t="shared" si="9"/>
        <v>0</v>
      </c>
      <c r="M46" s="135" t="s">
        <v>5</v>
      </c>
      <c r="O46" s="244"/>
      <c r="P46" s="244"/>
      <c r="Q46" s="244"/>
      <c r="R46" s="244"/>
      <c r="S46" s="244"/>
      <c r="T46" s="244"/>
      <c r="U46" s="244"/>
      <c r="V46" s="244"/>
      <c r="W46" s="244"/>
      <c r="X46" s="244"/>
      <c r="Y46" s="244"/>
      <c r="Z46" s="244"/>
      <c r="AA46" s="244"/>
      <c r="AB46" s="244"/>
    </row>
    <row r="47" spans="1:28" ht="12" customHeight="1" thickTop="1" thickBot="1">
      <c r="A47" s="391" t="s">
        <v>283</v>
      </c>
      <c r="B47" s="1244" t="str">
        <f>IF($A$48=0,"^ Zeile einfügen","bis hierher ziehen!")</f>
        <v>^ Zeile einfügen</v>
      </c>
      <c r="C47" s="1244"/>
      <c r="D47" s="392" t="s">
        <v>5</v>
      </c>
      <c r="E47" s="393" t="s">
        <v>5</v>
      </c>
      <c r="F47" s="394" t="s">
        <v>5</v>
      </c>
      <c r="G47" s="394"/>
      <c r="H47" s="395"/>
      <c r="I47" s="396"/>
      <c r="J47" s="425"/>
      <c r="K47" s="201">
        <v>0</v>
      </c>
      <c r="L47" s="185" t="s">
        <v>5</v>
      </c>
      <c r="M47" s="398" t="s">
        <v>283</v>
      </c>
    </row>
    <row r="48" spans="1:28" ht="12" customHeight="1" thickTop="1" thickBot="1">
      <c r="A48" s="390">
        <f>COUNTBLANK(A3:A47)+A49</f>
        <v>0</v>
      </c>
      <c r="B48" s="193" t="str">
        <f>+EÜR!C22</f>
        <v>ü</v>
      </c>
      <c r="C48" s="194" t="s">
        <v>5</v>
      </c>
      <c r="D48" s="194" t="s">
        <v>5</v>
      </c>
      <c r="E48" s="195" t="s">
        <v>5</v>
      </c>
      <c r="F48" s="196" t="s">
        <v>5</v>
      </c>
      <c r="G48" s="197">
        <f>SUBTOTAL(9,G3:G47)</f>
        <v>0</v>
      </c>
      <c r="H48" s="1242">
        <f>SUBTOTAL(9,I3:I47)</f>
        <v>0</v>
      </c>
      <c r="I48" s="1243">
        <f>SUBTOTAL(9,I3:I47)</f>
        <v>0</v>
      </c>
      <c r="J48" s="1293">
        <f>G48-H48</f>
        <v>0</v>
      </c>
      <c r="K48" s="1294"/>
      <c r="L48" s="1295"/>
      <c r="M48" s="135" t="s">
        <v>5</v>
      </c>
    </row>
    <row r="49" spans="1:14" ht="12" customHeight="1" thickTop="1" thickBot="1">
      <c r="A49" s="390">
        <f>IF(ISERROR(J47),1,0)</f>
        <v>0</v>
      </c>
      <c r="B49" s="192">
        <f>J48-G49-E49-C49</f>
        <v>0</v>
      </c>
      <c r="C49" s="1239">
        <f>SUMIF(F4:F47,"Kreditkarte",G4:G47)</f>
        <v>0</v>
      </c>
      <c r="D49" s="1239"/>
      <c r="E49" s="1240">
        <f>SUMIF(F4:F47,"Konto",G4:G47)</f>
        <v>0</v>
      </c>
      <c r="F49" s="1240"/>
      <c r="G49" s="1241">
        <f>SUMIF(F4:F47,"Geldbeutel",G4:G47)</f>
        <v>0</v>
      </c>
      <c r="H49" s="1241"/>
      <c r="I49" s="1241"/>
      <c r="J49" s="1296"/>
      <c r="K49" s="1297"/>
      <c r="L49" s="1298"/>
      <c r="M49" s="135" t="s">
        <v>5</v>
      </c>
    </row>
    <row r="50" spans="1:14" s="15" customFormat="1" ht="5.25" customHeight="1" thickTop="1">
      <c r="A50" s="36"/>
      <c r="B50" s="2"/>
      <c r="C50" s="3"/>
      <c r="D50" s="3"/>
      <c r="E50" s="1"/>
      <c r="G50" s="16"/>
      <c r="H50" s="16"/>
      <c r="I50" s="17"/>
      <c r="J50" s="18"/>
      <c r="K50" s="18"/>
      <c r="L50" s="31"/>
      <c r="N50" s="148"/>
    </row>
    <row r="51" spans="1:14">
      <c r="A51" s="36"/>
    </row>
  </sheetData>
  <sheetProtection formatCells="0" insertRows="0" deleteRows="0" selectLockedCells="1" sort="0" autoFilter="0"/>
  <mergeCells count="15">
    <mergeCell ref="AA4:AB4"/>
    <mergeCell ref="C49:D49"/>
    <mergeCell ref="C2:I2"/>
    <mergeCell ref="J2:L2"/>
    <mergeCell ref="E49:F49"/>
    <mergeCell ref="J48:L49"/>
    <mergeCell ref="G49:I49"/>
    <mergeCell ref="H48:I48"/>
    <mergeCell ref="AA9:AB9"/>
    <mergeCell ref="O10:Z10"/>
    <mergeCell ref="O11:Z11"/>
    <mergeCell ref="AA13:AB13"/>
    <mergeCell ref="O14:Z14"/>
    <mergeCell ref="AA14:AB14"/>
    <mergeCell ref="B47:C47"/>
  </mergeCells>
  <conditionalFormatting sqref="A4:A46">
    <cfRule type="expression" dxfId="1390" priority="17">
      <formula>ISERROR(J4)</formula>
    </cfRule>
    <cfRule type="cellIs" dxfId="1389" priority="18" operator="equal">
      <formula>""</formula>
    </cfRule>
  </conditionalFormatting>
  <conditionalFormatting sqref="A47:C47">
    <cfRule type="expression" dxfId="1388" priority="2">
      <formula>$A$48&lt;&gt;0</formula>
    </cfRule>
  </conditionalFormatting>
  <conditionalFormatting sqref="B2">
    <cfRule type="expression" dxfId="1387" priority="44" stopIfTrue="1">
      <formula>$B$48="x"</formula>
    </cfRule>
  </conditionalFormatting>
  <conditionalFormatting sqref="B4:B46">
    <cfRule type="cellIs" dxfId="1386" priority="31" operator="equal">
      <formula>""</formula>
    </cfRule>
  </conditionalFormatting>
  <conditionalFormatting sqref="B48">
    <cfRule type="cellIs" dxfId="1383" priority="67" operator="equal">
      <formula>"y"</formula>
    </cfRule>
  </conditionalFormatting>
  <conditionalFormatting sqref="B3:J3">
    <cfRule type="expression" dxfId="1382" priority="10865">
      <formula>$B$48="x"</formula>
    </cfRule>
  </conditionalFormatting>
  <conditionalFormatting sqref="B4:J46">
    <cfRule type="expression" dxfId="1381" priority="27">
      <formula>$B$1="x"</formula>
    </cfRule>
  </conditionalFormatting>
  <conditionalFormatting sqref="B3:L3">
    <cfRule type="expression" dxfId="1380" priority="61">
      <formula>$B$48="x"</formula>
    </cfRule>
  </conditionalFormatting>
  <conditionalFormatting sqref="C4:D46">
    <cfRule type="expression" dxfId="1379" priority="34">
      <formula>AND($B4&lt;&gt;"",$C4="")</formula>
    </cfRule>
  </conditionalFormatting>
  <conditionalFormatting sqref="C49:I49">
    <cfRule type="cellIs" dxfId="1378" priority="64" stopIfTrue="1" operator="greaterThanOrEqual">
      <formula>0</formula>
    </cfRule>
    <cfRule type="cellIs" dxfId="1377" priority="66" stopIfTrue="1" operator="lessThan">
      <formula>0</formula>
    </cfRule>
  </conditionalFormatting>
  <conditionalFormatting sqref="D47:J47">
    <cfRule type="expression" dxfId="1376" priority="4">
      <formula>$A$48&lt;&gt;0</formula>
    </cfRule>
  </conditionalFormatting>
  <conditionalFormatting sqref="H4:H46">
    <cfRule type="expression" dxfId="1375" priority="30">
      <formula>AND(G4&lt;&gt;"",H4="",$I$1&lt;&gt;"x")</formula>
    </cfRule>
  </conditionalFormatting>
  <conditionalFormatting sqref="H4:I46">
    <cfRule type="expression" dxfId="1374" priority="28">
      <formula>AND($I4&lt;&gt;0,$I$1&lt;&gt;"ü")</formula>
    </cfRule>
    <cfRule type="expression" dxfId="1373" priority="29">
      <formula>$I$1&lt;&gt;"ü"</formula>
    </cfRule>
  </conditionalFormatting>
  <conditionalFormatting sqref="J48:L48 C49:L49 C48:H48">
    <cfRule type="expression" dxfId="1371" priority="63">
      <formula>$B$48="x"</formula>
    </cfRule>
  </conditionalFormatting>
  <conditionalFormatting sqref="J48:L49">
    <cfRule type="expression" dxfId="1370" priority="62">
      <formula>AND($B$48="x",$J$48&lt;&gt;0)</formula>
    </cfRule>
  </conditionalFormatting>
  <conditionalFormatting sqref="K4:L46">
    <cfRule type="expression" dxfId="1369" priority="17549">
      <formula>$B$48="x"</formula>
    </cfRule>
  </conditionalFormatting>
  <conditionalFormatting sqref="M3">
    <cfRule type="cellIs" dxfId="1368" priority="26" operator="equal">
      <formula>""</formula>
    </cfRule>
  </conditionalFormatting>
  <conditionalFormatting sqref="M4:M46">
    <cfRule type="expression" dxfId="1367" priority="24">
      <formula>ISERROR(J4)</formula>
    </cfRule>
    <cfRule type="cellIs" dxfId="1366" priority="25" operator="equal">
      <formula>""</formula>
    </cfRule>
  </conditionalFormatting>
  <conditionalFormatting sqref="M47">
    <cfRule type="expression" dxfId="1365" priority="3">
      <formula>$A$48&lt;&gt;0</formula>
    </cfRule>
  </conditionalFormatting>
  <conditionalFormatting sqref="M47:M49">
    <cfRule type="cellIs" dxfId="1364" priority="6" operator="equal">
      <formula>""</formula>
    </cfRule>
  </conditionalFormatting>
  <conditionalFormatting sqref="O11:Z11">
    <cfRule type="cellIs" dxfId="1363" priority="48" operator="equal">
      <formula>"Fehler!"</formula>
    </cfRule>
  </conditionalFormatting>
  <conditionalFormatting sqref="O4:AA4">
    <cfRule type="expression" dxfId="1359" priority="43">
      <formula>$N$2=0</formula>
    </cfRule>
  </conditionalFormatting>
  <conditionalFormatting sqref="O2:AB3">
    <cfRule type="expression" dxfId="1357" priority="1">
      <formula>$N$2=0</formula>
    </cfRule>
  </conditionalFormatting>
  <conditionalFormatting sqref="O5:AB8 O9:AA9 N10 O10:AB14">
    <cfRule type="expression" dxfId="1356" priority="47">
      <formula>$N$2=0</formula>
    </cfRule>
  </conditionalFormatting>
  <conditionalFormatting sqref="O47:AB49">
    <cfRule type="expression" dxfId="1355" priority="5">
      <formula>$N$2=0</formula>
    </cfRule>
  </conditionalFormatting>
  <dataValidations count="2">
    <dataValidation type="list" allowBlank="1" showInputMessage="1" showErrorMessage="1" sqref="H4:H46" xr:uid="{82F1D088-6718-4FB7-BCFF-74ED601E0AE5}">
      <formula1>"19,7,0,~"</formula1>
    </dataValidation>
    <dataValidation type="list" allowBlank="1" showInputMessage="1" showErrorMessage="1" sqref="F4:F46" xr:uid="{F4B2C848-0D1D-4624-ABB7-04A647D3D094}">
      <formula1>"Konto,Geldbeutel,Kreditkarte,x"</formula1>
    </dataValidation>
  </dataValidations>
  <hyperlinks>
    <hyperlink ref="J2" location="'2022 EÜR'!A1" display="Menü" xr:uid="{2F579F72-6DBD-4AED-AC3A-E58C5A538F7E}"/>
    <hyperlink ref="J2:L2" location="EÜR!A1" display="EÜR" xr:uid="{4606BD4B-A5DB-4E95-8CFD-919C54FFF768}"/>
  </hyperlinks>
  <printOptions horizontalCentered="1"/>
  <pageMargins left="0" right="0" top="0" bottom="0.31496062992125984" header="0" footer="0"/>
  <pageSetup paperSize="9" orientation="portrait" r:id="rId1"/>
  <headerFooter>
    <oddFooter>&amp;L&amp;"Arial,Standard"&amp;8Datei: &amp;Z&amp;F/&amp;A&amp;C&amp;"Arial,Standard"&amp;8Seite &amp;P von &amp;N&amp;R&amp;"Arial,Standard"&amp;8Druck: &amp;D&amp;T Uhr</oddFooter>
  </headerFooter>
  <extLst>
    <ext xmlns:x14="http://schemas.microsoft.com/office/spreadsheetml/2009/9/main" uri="{78C0D931-6437-407d-A8EE-F0AAD7539E65}">
      <x14:conditionalFormattings>
        <x14:conditionalFormatting xmlns:xm="http://schemas.microsoft.com/office/excel/2006/main">
          <x14:cfRule type="cellIs" priority="32" operator="greaterThan" id="{A7F9B25A-F942-4A57-83D2-08FD3FD43574}">
            <xm:f>EÜR!$I$78</xm:f>
            <x14:dxf>
              <font>
                <b/>
                <i val="0"/>
                <color rgb="FFFFFF00"/>
              </font>
              <fill>
                <patternFill>
                  <bgColor rgb="FFC00000"/>
                </patternFill>
              </fill>
            </x14:dxf>
          </x14:cfRule>
          <x14:cfRule type="cellIs" priority="33" operator="lessThan" id="{1F268C27-660D-45CD-8F49-55491450C845}">
            <xm:f>EÜR!$I$77</xm:f>
            <x14:dxf>
              <font>
                <b/>
                <i val="0"/>
                <color rgb="FFFFFF00"/>
              </font>
              <fill>
                <patternFill>
                  <bgColor rgb="FFC00000"/>
                </patternFill>
              </fill>
            </x14:dxf>
          </x14:cfRule>
          <xm:sqref>B4:B46</xm:sqref>
        </x14:conditionalFormatting>
        <x14:conditionalFormatting xmlns:xm="http://schemas.microsoft.com/office/excel/2006/main">
          <x14:cfRule type="expression" priority="45" id="{DA1FE68B-6219-44B9-9035-A4CA81628338}">
            <xm:f>AND(EÜR!$J$66&lt;&gt;"ü",$H$48&lt;&gt;0)</xm:f>
            <x14:dxf>
              <font>
                <b/>
                <i val="0"/>
                <color rgb="FFFFFF00"/>
              </font>
              <fill>
                <patternFill>
                  <bgColor rgb="FFFF0000"/>
                </patternFill>
              </fill>
            </x14:dxf>
          </x14:cfRule>
          <xm:sqref>H48:I48</xm:sqref>
        </x14:conditionalFormatting>
        <x14:conditionalFormatting xmlns:xm="http://schemas.microsoft.com/office/excel/2006/main">
          <x14:cfRule type="expression" priority="49" id="{2EACFD9D-8631-4552-8170-58FFDF53654D}">
            <xm:f>AND(O13&lt;&gt;0,U!L36="!",U!L37="!")</xm:f>
            <x14:dxf>
              <font>
                <b/>
                <i val="0"/>
                <color rgb="FFFF0000"/>
              </font>
              <fill>
                <patternFill>
                  <bgColor rgb="FFFFCCCC"/>
                </patternFill>
              </fill>
            </x14:dxf>
          </x14:cfRule>
          <x14:cfRule type="expression" priority="50" id="{C3B8B705-A5EA-40BD-8583-21A02BF91196}">
            <xm:f>U!L37&lt;&gt;"!"</xm:f>
            <x14:dxf>
              <font>
                <b/>
                <i val="0"/>
                <color rgb="FF006666"/>
              </font>
              <fill>
                <patternFill>
                  <bgColor theme="6" tint="0.39994506668294322"/>
                </patternFill>
              </fill>
            </x14:dxf>
          </x14:cfRule>
          <x14:cfRule type="expression" priority="51" id="{BF1EDEBD-79D5-4FB4-B600-C5003E8591FB}">
            <xm:f>U!L36&lt;&gt;"!"</xm:f>
            <x14:dxf>
              <font>
                <b/>
                <i val="0"/>
                <color theme="9" tint="-0.499984740745262"/>
              </font>
              <fill>
                <patternFill>
                  <bgColor rgb="FFFFFF99"/>
                </patternFill>
              </fill>
            </x14:dxf>
          </x14:cfRule>
          <xm:sqref>O13:Z13</xm:sqref>
        </x14:conditionalFormatting>
        <x14:conditionalFormatting xmlns:xm="http://schemas.microsoft.com/office/excel/2006/main">
          <x14:cfRule type="expression" priority="46" id="{FA4A243E-830A-4276-B781-005AA71B1C3D}">
            <xm:f>EÜR!$J$66="-"</xm:f>
            <x14:dxf>
              <font>
                <b/>
                <i val="0"/>
                <color theme="0"/>
              </font>
              <fill>
                <patternFill>
                  <bgColor theme="0"/>
                </patternFill>
              </fill>
              <border>
                <left/>
                <right/>
                <top/>
                <bottom/>
              </border>
            </x14:dxf>
          </x14:cfRule>
          <xm:sqref>O12:AA14</xm:sqref>
        </x14:conditionalFormatting>
      </x14:conditionalFormatting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940B6D-CAB5-429B-BF8F-52FE966187A4}">
  <sheetPr codeName="Tabelle10">
    <tabColor theme="9" tint="0.39997558519241921"/>
    <pageSetUpPr autoPageBreaks="0"/>
  </sheetPr>
  <dimension ref="A1:AB51"/>
  <sheetViews>
    <sheetView showGridLines="0" showRowColHeaders="0" zoomScaleNormal="100" workbookViewId="0">
      <pane ySplit="3" topLeftCell="A4" activePane="bottomLeft" state="frozen"/>
      <selection activeCell="F4" sqref="F4:F46"/>
      <selection pane="bottomLeft" activeCell="A4" sqref="A4"/>
    </sheetView>
  </sheetViews>
  <sheetFormatPr baseColWidth="10" defaultColWidth="9.77734375" defaultRowHeight="12.75"/>
  <cols>
    <col min="1" max="1" width="0.77734375" style="12" customWidth="1"/>
    <col min="2" max="2" width="7.6640625" style="30" customWidth="1"/>
    <col min="3" max="3" width="21.6640625" style="24" customWidth="1"/>
    <col min="4" max="4" width="7.6640625" style="24" customWidth="1"/>
    <col min="5" max="5" width="6.6640625" style="25" customWidth="1"/>
    <col min="6" max="6" width="9.6640625" style="26" customWidth="1"/>
    <col min="7" max="7" width="9.6640625" style="27" customWidth="1"/>
    <col min="8" max="8" width="2.6640625" style="28" customWidth="1"/>
    <col min="9" max="9" width="6.6640625" style="29" customWidth="1"/>
    <col min="10" max="10" width="9.6640625" style="27" customWidth="1"/>
    <col min="11" max="11" width="2.5546875" style="27" hidden="1" customWidth="1"/>
    <col min="12" max="12" width="1.5546875" style="32" hidden="1" customWidth="1"/>
    <col min="13" max="13" width="0.77734375" style="13" customWidth="1"/>
    <col min="14" max="14" width="1.77734375" style="147" customWidth="1"/>
    <col min="15" max="26" width="8.77734375" style="13" customWidth="1"/>
    <col min="27" max="27" width="10.33203125" style="13" customWidth="1"/>
    <col min="28" max="28" width="8.33203125" style="13" customWidth="1"/>
    <col min="29" max="16384" width="9.77734375" style="13"/>
  </cols>
  <sheetData>
    <row r="1" spans="1:28" s="37" customFormat="1" ht="3" customHeight="1" thickBot="1">
      <c r="A1" s="36"/>
      <c r="B1" s="53" t="str">
        <f>+B48</f>
        <v>ü</v>
      </c>
      <c r="C1" s="54">
        <f>+C49</f>
        <v>0</v>
      </c>
      <c r="D1" s="54"/>
      <c r="E1" s="53">
        <f>+E49</f>
        <v>0</v>
      </c>
      <c r="F1" s="53"/>
      <c r="G1" s="54">
        <f>+G49</f>
        <v>0</v>
      </c>
      <c r="H1" s="53"/>
      <c r="I1" s="338" t="str">
        <f>+EÜR!J66</f>
        <v>-</v>
      </c>
      <c r="J1" s="54">
        <f>+J48</f>
        <v>0</v>
      </c>
      <c r="K1" s="198"/>
      <c r="L1" s="56"/>
      <c r="N1" s="190"/>
    </row>
    <row r="2" spans="1:28" ht="23.1" customHeight="1" thickTop="1" thickBot="1">
      <c r="A2" s="36"/>
      <c r="B2" s="296" t="str">
        <f>+EÜR!D23</f>
        <v>A02</v>
      </c>
      <c r="C2" s="1290" t="str">
        <f>+EÜR!F23</f>
        <v>Bezogene Fremdleistungen</v>
      </c>
      <c r="D2" s="1291"/>
      <c r="E2" s="1291"/>
      <c r="F2" s="1291"/>
      <c r="G2" s="1291"/>
      <c r="H2" s="1291"/>
      <c r="I2" s="1292"/>
      <c r="J2" s="1227" t="s">
        <v>8</v>
      </c>
      <c r="K2" s="1228"/>
      <c r="L2" s="1229"/>
      <c r="M2" s="134"/>
      <c r="N2" s="190">
        <f>IF(OR(B48="x",N3=1),0,1)</f>
        <v>1</v>
      </c>
      <c r="O2" s="188">
        <f>+EOMONTH(EÜR!$I$3,-1)+1</f>
        <v>46023</v>
      </c>
      <c r="P2" s="188">
        <f t="shared" ref="P2:Z2" si="0">+O3+1</f>
        <v>46054</v>
      </c>
      <c r="Q2" s="188">
        <f t="shared" si="0"/>
        <v>46082</v>
      </c>
      <c r="R2" s="188">
        <f t="shared" si="0"/>
        <v>46113</v>
      </c>
      <c r="S2" s="188">
        <f t="shared" si="0"/>
        <v>46143</v>
      </c>
      <c r="T2" s="188">
        <f t="shared" si="0"/>
        <v>46174</v>
      </c>
      <c r="U2" s="188">
        <f t="shared" si="0"/>
        <v>46204</v>
      </c>
      <c r="V2" s="188">
        <f t="shared" si="0"/>
        <v>46235</v>
      </c>
      <c r="W2" s="188">
        <f t="shared" si="0"/>
        <v>46266</v>
      </c>
      <c r="X2" s="188">
        <f t="shared" si="0"/>
        <v>46296</v>
      </c>
      <c r="Y2" s="188">
        <f t="shared" si="0"/>
        <v>46327</v>
      </c>
      <c r="Z2" s="188">
        <f t="shared" si="0"/>
        <v>46357</v>
      </c>
      <c r="AA2" s="48"/>
    </row>
    <row r="3" spans="1:28" ht="14.25" customHeight="1" thickTop="1">
      <c r="A3" s="36" t="s">
        <v>5</v>
      </c>
      <c r="B3" s="58" t="s">
        <v>1</v>
      </c>
      <c r="C3" s="59" t="s">
        <v>6</v>
      </c>
      <c r="D3" s="60"/>
      <c r="E3" s="310" t="s">
        <v>7</v>
      </c>
      <c r="F3" s="61" t="s">
        <v>4</v>
      </c>
      <c r="G3" s="62" t="s">
        <v>31</v>
      </c>
      <c r="H3" s="63" t="s">
        <v>33</v>
      </c>
      <c r="I3" s="64" t="s">
        <v>32</v>
      </c>
      <c r="J3" s="275" t="s">
        <v>34</v>
      </c>
      <c r="K3" s="199">
        <v>0</v>
      </c>
      <c r="L3" s="65" t="s">
        <v>5</v>
      </c>
      <c r="M3" s="135" t="s">
        <v>5</v>
      </c>
      <c r="N3" s="222">
        <f>IF(SUBTOTAL(109,K3:K47)&lt;&gt;SUM(K3:K47),1,0)</f>
        <v>0</v>
      </c>
      <c r="O3" s="189">
        <f>EOMONTH(O2,0)</f>
        <v>46053</v>
      </c>
      <c r="P3" s="189">
        <f t="shared" ref="P3:Z3" si="1">EOMONTH(P2,0)</f>
        <v>46081</v>
      </c>
      <c r="Q3" s="189">
        <f t="shared" si="1"/>
        <v>46112</v>
      </c>
      <c r="R3" s="189">
        <f t="shared" si="1"/>
        <v>46142</v>
      </c>
      <c r="S3" s="189">
        <f t="shared" si="1"/>
        <v>46173</v>
      </c>
      <c r="T3" s="189">
        <f t="shared" si="1"/>
        <v>46203</v>
      </c>
      <c r="U3" s="189">
        <f t="shared" si="1"/>
        <v>46234</v>
      </c>
      <c r="V3" s="189">
        <f t="shared" si="1"/>
        <v>46265</v>
      </c>
      <c r="W3" s="189">
        <f t="shared" si="1"/>
        <v>46295</v>
      </c>
      <c r="X3" s="189">
        <f t="shared" si="1"/>
        <v>46326</v>
      </c>
      <c r="Y3" s="189">
        <f t="shared" si="1"/>
        <v>46356</v>
      </c>
      <c r="Z3" s="189">
        <f t="shared" si="1"/>
        <v>46387</v>
      </c>
      <c r="AB3" s="14"/>
    </row>
    <row r="4" spans="1:28" ht="13.35" customHeight="1">
      <c r="A4" s="50" t="s">
        <v>5</v>
      </c>
      <c r="B4" s="141"/>
      <c r="C4" s="80"/>
      <c r="D4" s="93"/>
      <c r="E4" s="226"/>
      <c r="F4" s="89"/>
      <c r="G4" s="81"/>
      <c r="H4" s="82"/>
      <c r="I4" s="83" t="str">
        <f t="shared" ref="I4:I44" si="2">IF(G4&lt;&gt;"",+G4-G4/(1+H4/100),"")</f>
        <v/>
      </c>
      <c r="J4" s="361" t="str">
        <f t="shared" ref="J4:J44" si="3">IF(G4&lt;&gt;0,+G4-I4,"")</f>
        <v/>
      </c>
      <c r="K4" s="200">
        <v>1</v>
      </c>
      <c r="L4" s="133">
        <f>IF(B4&lt;$O$2,0,IF(B4&lt;$P$2,1,IF(B4&lt;$Q$2,2,IF(B4&lt;$R$2,3,IF(B4&lt;$S$2,4,IF(B4&lt;$T$2,5,IF(B4&lt;$U$2,6,IF(B4&lt;$V$2,7,IF(B4&lt;$W$2,8,IF(B4&lt;$X$2,9,IF(B4&lt;$Y$2,10,IF(B4&lt;$Z$2,11,IF(B4&lt;=$Z$3,12,0)))))))))))))</f>
        <v>0</v>
      </c>
      <c r="M4" s="135" t="s">
        <v>5</v>
      </c>
      <c r="N4" s="190">
        <f>+N10+AA12+AA16</f>
        <v>0</v>
      </c>
      <c r="O4" s="251" t="s">
        <v>36</v>
      </c>
      <c r="P4" s="251" t="s">
        <v>37</v>
      </c>
      <c r="Q4" s="251" t="s">
        <v>38</v>
      </c>
      <c r="R4" s="251" t="s">
        <v>39</v>
      </c>
      <c r="S4" s="251" t="s">
        <v>40</v>
      </c>
      <c r="T4" s="251" t="s">
        <v>41</v>
      </c>
      <c r="U4" s="251" t="s">
        <v>42</v>
      </c>
      <c r="V4" s="251" t="s">
        <v>43</v>
      </c>
      <c r="W4" s="251" t="s">
        <v>44</v>
      </c>
      <c r="X4" s="251" t="s">
        <v>45</v>
      </c>
      <c r="Y4" s="251" t="s">
        <v>46</v>
      </c>
      <c r="Z4" s="251" t="s">
        <v>47</v>
      </c>
      <c r="AA4" s="1209" t="s">
        <v>255</v>
      </c>
      <c r="AB4" s="1210"/>
    </row>
    <row r="5" spans="1:28" ht="13.35" customHeight="1">
      <c r="A5" s="50" t="s">
        <v>5</v>
      </c>
      <c r="B5" s="141"/>
      <c r="C5" s="80"/>
      <c r="D5" s="93"/>
      <c r="E5" s="226"/>
      <c r="F5" s="89"/>
      <c r="G5" s="81"/>
      <c r="H5" s="82"/>
      <c r="I5" s="83" t="str">
        <f t="shared" si="2"/>
        <v/>
      </c>
      <c r="J5" s="361" t="str">
        <f t="shared" si="3"/>
        <v/>
      </c>
      <c r="K5" s="200">
        <v>2</v>
      </c>
      <c r="L5" s="133">
        <f t="shared" ref="L5:L44" si="4">IF(B5&lt;$O$2,0,IF(B5&lt;$P$2,1,IF(B5&lt;$Q$2,2,IF(B5&lt;$R$2,3,IF(B5&lt;$S$2,4,IF(B5&lt;$T$2,5,IF(B5&lt;$U$2,6,IF(B5&lt;$V$2,7,IF(B5&lt;$W$2,8,IF(B5&lt;$X$2,9,IF(B5&lt;$Y$2,10,IF(B5&lt;$Z$2,11,IF(B5&lt;=$Z$3,12,0)))))))))))))</f>
        <v>0</v>
      </c>
      <c r="M5" s="135" t="s">
        <v>5</v>
      </c>
      <c r="O5" s="252">
        <f>SUMIFS($G$3:$G$47,$L$3:$L$47,1,$F$3:$F$47,"Konto")</f>
        <v>0</v>
      </c>
      <c r="P5" s="252">
        <f>SUMIFS($G$3:$G$47,$L$3:$L$47,2,$F$3:$F$47,"Konto")</f>
        <v>0</v>
      </c>
      <c r="Q5" s="252">
        <f>SUMIFS($G$3:$G$47,$L$3:$L$47,3,$F$3:$F$47,"Konto")</f>
        <v>0</v>
      </c>
      <c r="R5" s="252">
        <f>SUMIFS($G$3:$G$47,$L$3:$L$47,4,$F$3:$F$47,"Konto")</f>
        <v>0</v>
      </c>
      <c r="S5" s="252">
        <f>SUMIFS($G$3:$G$47,$L$3:$L$47,5,$F$3:$F$47,"Konto")</f>
        <v>0</v>
      </c>
      <c r="T5" s="252">
        <f>SUMIFS($G$3:$G$47,$L$3:$L$47,6,$F$3:$F$47,"Konto")</f>
        <v>0</v>
      </c>
      <c r="U5" s="252">
        <f>SUMIFS($G$3:$G$47,$L$3:$L$47,7,$F$3:$F$47,"Konto")</f>
        <v>0</v>
      </c>
      <c r="V5" s="252">
        <f>SUMIFS($G$3:$G$47,$L$3:$L$47,8,$F$3:$F$47,"Konto")</f>
        <v>0</v>
      </c>
      <c r="W5" s="252">
        <f>SUMIFS($G$3:$G$47,$L$3:$L$47,9,$F$3:$F$47,"Konto")</f>
        <v>0</v>
      </c>
      <c r="X5" s="252">
        <f>SUMIFS($G$3:$G$47,$L$3:$L$47,10,$F$3:$F$47,"Konto")</f>
        <v>0</v>
      </c>
      <c r="Y5" s="252">
        <f>SUMIFS($G$3:$G$47,$L$3:$L$47,11,$F$3:$F$47,"Konto")</f>
        <v>0</v>
      </c>
      <c r="Z5" s="252">
        <f>SUMIFS($G$3:$G$47,$L$3:$L$47,12,$F$3:$F$47,"Konto")</f>
        <v>0</v>
      </c>
      <c r="AA5" s="253">
        <f>SUM(O5:Z5)</f>
        <v>0</v>
      </c>
      <c r="AB5" s="254" t="s">
        <v>140</v>
      </c>
    </row>
    <row r="6" spans="1:28" ht="13.35" customHeight="1">
      <c r="A6" s="50" t="s">
        <v>5</v>
      </c>
      <c r="B6" s="141"/>
      <c r="C6" s="80"/>
      <c r="D6" s="93"/>
      <c r="E6" s="226"/>
      <c r="F6" s="89"/>
      <c r="G6" s="81"/>
      <c r="H6" s="82"/>
      <c r="I6" s="83" t="str">
        <f t="shared" si="2"/>
        <v/>
      </c>
      <c r="J6" s="361" t="str">
        <f t="shared" si="3"/>
        <v/>
      </c>
      <c r="K6" s="200">
        <v>3</v>
      </c>
      <c r="L6" s="133">
        <f t="shared" si="4"/>
        <v>0</v>
      </c>
      <c r="M6" s="135" t="s">
        <v>5</v>
      </c>
      <c r="N6" s="190"/>
      <c r="O6" s="252">
        <f>SUMIFS($G$3:$G$47,$L$3:$L$47,1,$F$3:$F$47,"Kreditkarte")</f>
        <v>0</v>
      </c>
      <c r="P6" s="252">
        <f>SUMIFS($G$3:$G$47,$L$3:$L$47,2,$F$3:$F$47,"Kreditkarte")</f>
        <v>0</v>
      </c>
      <c r="Q6" s="252">
        <f>SUMIFS($G$3:$G$47,$L$3:$L$47,3,$F$3:$F$47,"Kreditkarte")</f>
        <v>0</v>
      </c>
      <c r="R6" s="252">
        <f>SUMIFS($G$3:$G$47,$L$3:$L$47,4,$F$3:$F$47,"Kreditkarte")</f>
        <v>0</v>
      </c>
      <c r="S6" s="252">
        <f>SUMIFS($G$3:$G$47,$L$3:$L$47,5,$F$3:$F$47,"Kreditkarte")</f>
        <v>0</v>
      </c>
      <c r="T6" s="252">
        <f>SUMIFS($G$3:$G$47,$L$3:$L$47,6,$F$3:$F$47,"Kreditkarte")</f>
        <v>0</v>
      </c>
      <c r="U6" s="252">
        <f>SUMIFS($G$3:$G$47,$L$3:$L$47,7,$F$3:$F$47,"Kreditkarte")</f>
        <v>0</v>
      </c>
      <c r="V6" s="252">
        <f>SUMIFS($G$3:$G$47,$L$3:$L$47,8,$F$3:$F$47,"Kreditkarte")</f>
        <v>0</v>
      </c>
      <c r="W6" s="252">
        <f>SUMIFS($G$3:$G$47,$L$3:$L$47,9,$F$3:$F$47,"Kreditkarte")</f>
        <v>0</v>
      </c>
      <c r="X6" s="252">
        <f>SUMIFS($G$3:$G$47,$L$3:$L$47,10,$F$3:$F$47,"Kreditkarte")</f>
        <v>0</v>
      </c>
      <c r="Y6" s="252">
        <f>SUMIFS($G$3:$G$47,$L$3:$L$47,11,$F$3:$F$47,"Kreditkarte")</f>
        <v>0</v>
      </c>
      <c r="Z6" s="252">
        <f>SUMIFS($G$3:$G$47,$L$3:$L$47,12,$F$3:$F$47,"Kreditkarte")</f>
        <v>0</v>
      </c>
      <c r="AA6" s="255">
        <f t="shared" ref="AA6:AA8" si="5">SUM(O6:Z6)</f>
        <v>0</v>
      </c>
      <c r="AB6" s="256" t="s">
        <v>142</v>
      </c>
    </row>
    <row r="7" spans="1:28" ht="13.35" customHeight="1">
      <c r="A7" s="50" t="s">
        <v>5</v>
      </c>
      <c r="B7" s="141"/>
      <c r="C7" s="80"/>
      <c r="D7" s="93"/>
      <c r="E7" s="226"/>
      <c r="F7" s="89"/>
      <c r="G7" s="81"/>
      <c r="H7" s="82"/>
      <c r="I7" s="83" t="str">
        <f t="shared" si="2"/>
        <v/>
      </c>
      <c r="J7" s="361" t="str">
        <f t="shared" si="3"/>
        <v/>
      </c>
      <c r="K7" s="200">
        <v>4</v>
      </c>
      <c r="L7" s="133">
        <f t="shared" si="4"/>
        <v>0</v>
      </c>
      <c r="M7" s="135" t="s">
        <v>5</v>
      </c>
      <c r="O7" s="252">
        <f>SUMIFS($G$3:$G$47,$L$3:$L$47,1,$F$3:$F$47,"Geldbeutel")</f>
        <v>0</v>
      </c>
      <c r="P7" s="252">
        <f>SUMIFS($G$3:$G$47,$L$3:$L$47,2,$F$3:$F$47,"Geldbeutel")</f>
        <v>0</v>
      </c>
      <c r="Q7" s="252">
        <f>SUMIFS($G$3:$G$47,$L$3:$L$47,3,$F$3:$F$47,"Geldbeutel")</f>
        <v>0</v>
      </c>
      <c r="R7" s="252">
        <f>SUMIFS($G$3:$G$47,$L$3:$L$47,4,$F$3:$F$47,"Geldbeutel")</f>
        <v>0</v>
      </c>
      <c r="S7" s="252">
        <f>SUMIFS($G$3:$G$47,$L$3:$L$47,5,$F$3:$F$47,"Geldbeutel")</f>
        <v>0</v>
      </c>
      <c r="T7" s="252">
        <f>SUMIFS($G$3:$G$47,$L$3:$L$47,6,$F$3:$F$47,"Geldbeutel")</f>
        <v>0</v>
      </c>
      <c r="U7" s="252">
        <f>SUMIFS($G$3:$G$47,$L$3:$L$47,7,$F$3:$F$47,"Geldbeutel")</f>
        <v>0</v>
      </c>
      <c r="V7" s="252">
        <f>SUMIFS($G$3:$G$47,$L$3:$L$47,8,$F$3:$F$47,"Geldbeutel")</f>
        <v>0</v>
      </c>
      <c r="W7" s="252">
        <f>SUMIFS($G$3:$G$47,$L$3:$L$47,9,$F$3:$F$47,"Geldbeutel")</f>
        <v>0</v>
      </c>
      <c r="X7" s="252">
        <f>SUMIFS($G$3:$G$47,$L$3:$L$47,10,$F$3:$F$47,"Geldbeutel")</f>
        <v>0</v>
      </c>
      <c r="Y7" s="252">
        <f>SUMIFS($G$3:$G$47,$L$3:$L$47,11,$F$3:$F$47,"Geldbeutel")</f>
        <v>0</v>
      </c>
      <c r="Z7" s="252">
        <f>SUMIFS($G$3:$G$47,$L$3:$L$47,12,$F$3:$F$47,"Geldbeutel")</f>
        <v>0</v>
      </c>
      <c r="AA7" s="253">
        <f t="shared" si="5"/>
        <v>0</v>
      </c>
      <c r="AB7" s="254" t="s">
        <v>139</v>
      </c>
    </row>
    <row r="8" spans="1:28" ht="13.35" customHeight="1">
      <c r="A8" s="50" t="s">
        <v>5</v>
      </c>
      <c r="B8" s="141"/>
      <c r="C8" s="80"/>
      <c r="D8" s="93"/>
      <c r="E8" s="226"/>
      <c r="F8" s="89"/>
      <c r="G8" s="81"/>
      <c r="H8" s="82"/>
      <c r="I8" s="83" t="str">
        <f t="shared" si="2"/>
        <v/>
      </c>
      <c r="J8" s="361" t="str">
        <f t="shared" si="3"/>
        <v/>
      </c>
      <c r="K8" s="200">
        <v>5</v>
      </c>
      <c r="L8" s="133">
        <f t="shared" si="4"/>
        <v>0</v>
      </c>
      <c r="M8" s="135" t="s">
        <v>5</v>
      </c>
      <c r="O8" s="252">
        <f>SUMIFS($G$3:$G$47,$L$3:$L$47,1,$F$3:$F$47,"X")</f>
        <v>0</v>
      </c>
      <c r="P8" s="252">
        <f>SUMIFS($G$3:$G$47,$L$3:$L$47,2,$F$3:$F$47,"X")</f>
        <v>0</v>
      </c>
      <c r="Q8" s="252">
        <f>SUMIFS($G$3:$G$47,$L$3:$L$47,3,$F$3:$F$47,"X")</f>
        <v>0</v>
      </c>
      <c r="R8" s="252">
        <f>SUMIFS($G$3:$G$47,$L$3:$L$47,4,$F$3:$F$47,"X")</f>
        <v>0</v>
      </c>
      <c r="S8" s="252">
        <f>SUMIFS($G$3:$G$47,$L$3:$L$47,5,$F$3:$F$47,"X")</f>
        <v>0</v>
      </c>
      <c r="T8" s="252">
        <f>SUMIFS($G$3:$G$47,$L$3:$L$47,6,$F$3:$F$47,"X")</f>
        <v>0</v>
      </c>
      <c r="U8" s="252">
        <f>SUMIFS($G$3:$G$47,$L$3:$L$47,7,$F$3:$F$47,"X")</f>
        <v>0</v>
      </c>
      <c r="V8" s="252">
        <f>SUMIFS($G$3:$G$47,$L$3:$L$47,8,$F$3:$F$47,"X")</f>
        <v>0</v>
      </c>
      <c r="W8" s="252">
        <f>SUMIFS($G$3:$G$47,$L$3:$L$47,9,$F$3:$F$47,"X")</f>
        <v>0</v>
      </c>
      <c r="X8" s="252">
        <f>SUMIFS($G$3:$G$47,$L$3:$L$47,10,$F$3:$F$47,"X")</f>
        <v>0</v>
      </c>
      <c r="Y8" s="252">
        <f>SUMIFS($G$3:$G$47,$L$3:$L$47,11,$F$3:$F$47,"X")</f>
        <v>0</v>
      </c>
      <c r="Z8" s="252">
        <f>SUMIFS($G$3:$G$47,$L$3:$L$47,12,$F$3:$F$47,"X")</f>
        <v>0</v>
      </c>
      <c r="AA8" s="255">
        <f t="shared" si="5"/>
        <v>0</v>
      </c>
      <c r="AB8" s="256" t="s">
        <v>192</v>
      </c>
    </row>
    <row r="9" spans="1:28" ht="13.35" customHeight="1">
      <c r="A9" s="50" t="s">
        <v>5</v>
      </c>
      <c r="B9" s="141"/>
      <c r="C9" s="80"/>
      <c r="D9" s="93"/>
      <c r="E9" s="226"/>
      <c r="F9" s="89"/>
      <c r="G9" s="81"/>
      <c r="H9" s="82"/>
      <c r="I9" s="83" t="str">
        <f t="shared" si="2"/>
        <v/>
      </c>
      <c r="J9" s="361" t="str">
        <f t="shared" si="3"/>
        <v/>
      </c>
      <c r="K9" s="200">
        <v>6</v>
      </c>
      <c r="L9" s="133">
        <f t="shared" si="4"/>
        <v>0</v>
      </c>
      <c r="M9" s="135" t="s">
        <v>5</v>
      </c>
      <c r="N9" s="191">
        <f>IF(OR(AND(AA14&lt;&gt;0,B48="x"),(O14+AA13)&lt;&gt;H48),1,0)</f>
        <v>0</v>
      </c>
      <c r="O9" s="257">
        <f>SUM(O5:O8)</f>
        <v>0</v>
      </c>
      <c r="P9" s="257">
        <f t="shared" ref="P9:Z9" si="6">SUM(P5:P8)</f>
        <v>0</v>
      </c>
      <c r="Q9" s="257">
        <f t="shared" si="6"/>
        <v>0</v>
      </c>
      <c r="R9" s="257">
        <f t="shared" si="6"/>
        <v>0</v>
      </c>
      <c r="S9" s="257">
        <f t="shared" si="6"/>
        <v>0</v>
      </c>
      <c r="T9" s="257">
        <f t="shared" si="6"/>
        <v>0</v>
      </c>
      <c r="U9" s="257">
        <f t="shared" si="6"/>
        <v>0</v>
      </c>
      <c r="V9" s="257">
        <f t="shared" si="6"/>
        <v>0</v>
      </c>
      <c r="W9" s="257">
        <f t="shared" si="6"/>
        <v>0</v>
      </c>
      <c r="X9" s="257">
        <f t="shared" si="6"/>
        <v>0</v>
      </c>
      <c r="Y9" s="257">
        <f t="shared" si="6"/>
        <v>0</v>
      </c>
      <c r="Z9" s="257">
        <f t="shared" si="6"/>
        <v>0</v>
      </c>
      <c r="AA9" s="1211" t="s">
        <v>197</v>
      </c>
      <c r="AB9" s="1212"/>
    </row>
    <row r="10" spans="1:28" ht="13.35" customHeight="1">
      <c r="A10" s="50" t="s">
        <v>5</v>
      </c>
      <c r="B10" s="141"/>
      <c r="C10" s="80"/>
      <c r="D10" s="93"/>
      <c r="E10" s="226"/>
      <c r="F10" s="89"/>
      <c r="G10" s="81"/>
      <c r="H10" s="82"/>
      <c r="I10" s="83" t="str">
        <f t="shared" si="2"/>
        <v/>
      </c>
      <c r="J10" s="361" t="str">
        <f t="shared" si="3"/>
        <v/>
      </c>
      <c r="K10" s="200">
        <v>7</v>
      </c>
      <c r="L10" s="133">
        <f t="shared" si="4"/>
        <v>0</v>
      </c>
      <c r="M10" s="135" t="s">
        <v>5</v>
      </c>
      <c r="N10" s="259">
        <f>IF(O10+AA10&lt;&gt;G48,1,0)</f>
        <v>0</v>
      </c>
      <c r="O10" s="1230">
        <f>SUM(O5:Z8)</f>
        <v>0</v>
      </c>
      <c r="P10" s="1231"/>
      <c r="Q10" s="1231"/>
      <c r="R10" s="1231"/>
      <c r="S10" s="1231"/>
      <c r="T10" s="1231"/>
      <c r="U10" s="1231"/>
      <c r="V10" s="1231"/>
      <c r="W10" s="1231"/>
      <c r="X10" s="1231"/>
      <c r="Y10" s="1231"/>
      <c r="Z10" s="1232"/>
      <c r="AA10" s="292">
        <f>+G48-AA7-AA6-AA5-AA8</f>
        <v>0</v>
      </c>
      <c r="AB10" s="293" t="s">
        <v>205</v>
      </c>
    </row>
    <row r="11" spans="1:28" ht="13.35" customHeight="1">
      <c r="A11" s="50" t="s">
        <v>5</v>
      </c>
      <c r="B11" s="141"/>
      <c r="C11" s="80"/>
      <c r="D11" s="93"/>
      <c r="E11" s="226"/>
      <c r="F11" s="89"/>
      <c r="G11" s="81"/>
      <c r="H11" s="82"/>
      <c r="I11" s="83" t="str">
        <f t="shared" si="2"/>
        <v/>
      </c>
      <c r="J11" s="361" t="str">
        <f t="shared" si="3"/>
        <v/>
      </c>
      <c r="K11" s="200">
        <v>8</v>
      </c>
      <c r="L11" s="133">
        <f t="shared" si="4"/>
        <v>0</v>
      </c>
      <c r="M11" s="135" t="s">
        <v>5</v>
      </c>
      <c r="O11" s="1219" t="str">
        <f>IF(N4&gt;0,"Fehler!","")</f>
        <v/>
      </c>
      <c r="P11" s="1219"/>
      <c r="Q11" s="1219"/>
      <c r="R11" s="1219"/>
      <c r="S11" s="1219"/>
      <c r="T11" s="1219"/>
      <c r="U11" s="1219"/>
      <c r="V11" s="1219"/>
      <c r="W11" s="1219"/>
      <c r="X11" s="1219"/>
      <c r="Y11" s="1219"/>
      <c r="Z11" s="1219"/>
    </row>
    <row r="12" spans="1:28" ht="13.35" customHeight="1">
      <c r="A12" s="50" t="s">
        <v>5</v>
      </c>
      <c r="B12" s="141"/>
      <c r="C12" s="80"/>
      <c r="D12" s="93"/>
      <c r="E12" s="226"/>
      <c r="F12" s="89"/>
      <c r="G12" s="81"/>
      <c r="H12" s="82"/>
      <c r="I12" s="83" t="str">
        <f t="shared" si="2"/>
        <v/>
      </c>
      <c r="J12" s="361" t="str">
        <f t="shared" si="3"/>
        <v/>
      </c>
      <c r="K12" s="200">
        <v>9</v>
      </c>
      <c r="L12" s="133">
        <f t="shared" si="4"/>
        <v>0</v>
      </c>
      <c r="M12" s="135" t="s">
        <v>5</v>
      </c>
      <c r="O12" s="203" t="s">
        <v>36</v>
      </c>
      <c r="P12" s="203" t="s">
        <v>37</v>
      </c>
      <c r="Q12" s="203" t="s">
        <v>38</v>
      </c>
      <c r="R12" s="203" t="s">
        <v>39</v>
      </c>
      <c r="S12" s="203" t="s">
        <v>40</v>
      </c>
      <c r="T12" s="203" t="s">
        <v>41</v>
      </c>
      <c r="U12" s="203" t="s">
        <v>42</v>
      </c>
      <c r="V12" s="203" t="s">
        <v>43</v>
      </c>
      <c r="W12" s="203" t="s">
        <v>44</v>
      </c>
      <c r="X12" s="203" t="s">
        <v>45</v>
      </c>
      <c r="Y12" s="203" t="s">
        <v>46</v>
      </c>
      <c r="Z12" s="203" t="s">
        <v>47</v>
      </c>
      <c r="AA12" s="221">
        <f>IF(O14+AA13&lt;&gt;H48,1,0)</f>
        <v>0</v>
      </c>
    </row>
    <row r="13" spans="1:28" ht="13.35" customHeight="1">
      <c r="A13" s="50" t="s">
        <v>5</v>
      </c>
      <c r="B13" s="141"/>
      <c r="C13" s="80"/>
      <c r="D13" s="93"/>
      <c r="E13" s="226"/>
      <c r="F13" s="89"/>
      <c r="G13" s="81"/>
      <c r="H13" s="82"/>
      <c r="I13" s="83" t="str">
        <f t="shared" si="2"/>
        <v/>
      </c>
      <c r="J13" s="361" t="str">
        <f t="shared" si="3"/>
        <v/>
      </c>
      <c r="K13" s="200">
        <v>10</v>
      </c>
      <c r="L13" s="133">
        <f t="shared" si="4"/>
        <v>0</v>
      </c>
      <c r="M13" s="135" t="s">
        <v>5</v>
      </c>
      <c r="O13" s="187">
        <f>SUMIF($L$3:$L$47,1,$I$3:$I$47)</f>
        <v>0</v>
      </c>
      <c r="P13" s="187">
        <f>SUMIF($L$3:$L$47,2,$I$3:$I$47)</f>
        <v>0</v>
      </c>
      <c r="Q13" s="187">
        <f>SUMIF($L$3:$L$47,3,$I$3:$I$47)</f>
        <v>0</v>
      </c>
      <c r="R13" s="187">
        <f>SUMIF($L$3:$L$47,4,$I$3:$I$47)</f>
        <v>0</v>
      </c>
      <c r="S13" s="187">
        <f>SUMIF($L$3:$L$47,5,$I$3:$I$47)</f>
        <v>0</v>
      </c>
      <c r="T13" s="187">
        <f>SUMIF($L$3:$L$47,6,$I$3:$I$47)</f>
        <v>0</v>
      </c>
      <c r="U13" s="187">
        <f>SUMIF($L$3:$L$47,7,$I$3:$I$47)</f>
        <v>0</v>
      </c>
      <c r="V13" s="187">
        <f>SUMIF($L$3:$L$47,8,$I$3:$I$47)</f>
        <v>0</v>
      </c>
      <c r="W13" s="187">
        <f>SUMIF($L$3:$L$47,9,$I$3:$I$47)</f>
        <v>0</v>
      </c>
      <c r="X13" s="187">
        <f>SUMIF($L$3:$L$47,10,$I$3:$I$47)</f>
        <v>0</v>
      </c>
      <c r="Y13" s="187">
        <f>SUMIF($L$3:$L$47,11,$I$3:$I$47)</f>
        <v>0</v>
      </c>
      <c r="Z13" s="187">
        <f>SUMIF($L$3:$L$47,12,$I$3:$I$47)</f>
        <v>0</v>
      </c>
      <c r="AA13" s="1220">
        <f>SUMIF($L$3:$L$47,0,$I$3:$I$47)</f>
        <v>0</v>
      </c>
      <c r="AB13" s="1221"/>
    </row>
    <row r="14" spans="1:28" ht="13.35" customHeight="1">
      <c r="A14" s="50" t="s">
        <v>5</v>
      </c>
      <c r="B14" s="141"/>
      <c r="C14" s="80"/>
      <c r="D14" s="93"/>
      <c r="E14" s="226"/>
      <c r="F14" s="89"/>
      <c r="G14" s="81"/>
      <c r="H14" s="82"/>
      <c r="I14" s="83" t="str">
        <f t="shared" si="2"/>
        <v/>
      </c>
      <c r="J14" s="361" t="str">
        <f t="shared" si="3"/>
        <v/>
      </c>
      <c r="K14" s="200">
        <v>11</v>
      </c>
      <c r="L14" s="133">
        <f t="shared" si="4"/>
        <v>0</v>
      </c>
      <c r="M14" s="135" t="s">
        <v>5</v>
      </c>
      <c r="O14" s="1299">
        <f>SUM(O13:Z13)</f>
        <v>0</v>
      </c>
      <c r="P14" s="1300"/>
      <c r="Q14" s="1300"/>
      <c r="R14" s="1300"/>
      <c r="S14" s="1300"/>
      <c r="T14" s="1300"/>
      <c r="U14" s="1300"/>
      <c r="V14" s="1300"/>
      <c r="W14" s="1300"/>
      <c r="X14" s="1300"/>
      <c r="Y14" s="1300"/>
      <c r="Z14" s="1301"/>
      <c r="AA14" s="1222">
        <f>SUM(O13:Z13)+AA13</f>
        <v>0</v>
      </c>
      <c r="AB14" s="1223"/>
    </row>
    <row r="15" spans="1:28" ht="13.35" customHeight="1">
      <c r="A15" s="50" t="s">
        <v>5</v>
      </c>
      <c r="B15" s="141"/>
      <c r="C15" s="260"/>
      <c r="D15" s="93"/>
      <c r="E15" s="226"/>
      <c r="F15" s="89"/>
      <c r="G15" s="81"/>
      <c r="H15" s="82"/>
      <c r="I15" s="83" t="str">
        <f t="shared" si="2"/>
        <v/>
      </c>
      <c r="J15" s="361" t="str">
        <f t="shared" si="3"/>
        <v/>
      </c>
      <c r="K15" s="200">
        <v>12</v>
      </c>
      <c r="L15" s="133">
        <f t="shared" si="4"/>
        <v>0</v>
      </c>
      <c r="M15" s="135" t="s">
        <v>5</v>
      </c>
      <c r="O15" s="244"/>
      <c r="P15" s="244"/>
      <c r="Q15" s="244"/>
      <c r="R15" s="244"/>
      <c r="S15" s="244"/>
      <c r="T15" s="244"/>
      <c r="U15" s="244"/>
      <c r="V15" s="244"/>
      <c r="W15" s="244"/>
      <c r="X15" s="244"/>
      <c r="Y15" s="244"/>
      <c r="Z15" s="244"/>
      <c r="AA15" s="244"/>
      <c r="AB15" s="244"/>
    </row>
    <row r="16" spans="1:28" ht="13.35" customHeight="1">
      <c r="A16" s="50" t="s">
        <v>5</v>
      </c>
      <c r="B16" s="141"/>
      <c r="C16" s="80"/>
      <c r="D16" s="93"/>
      <c r="E16" s="226"/>
      <c r="F16" s="89"/>
      <c r="G16" s="81"/>
      <c r="H16" s="82"/>
      <c r="I16" s="83" t="str">
        <f t="shared" si="2"/>
        <v/>
      </c>
      <c r="J16" s="361" t="str">
        <f t="shared" si="3"/>
        <v/>
      </c>
      <c r="K16" s="200">
        <v>13</v>
      </c>
      <c r="L16" s="133">
        <f t="shared" si="4"/>
        <v>0</v>
      </c>
      <c r="M16" s="135" t="s">
        <v>5</v>
      </c>
      <c r="O16" s="244"/>
      <c r="P16" s="244"/>
      <c r="Q16" s="244"/>
      <c r="R16" s="244"/>
      <c r="S16" s="244"/>
      <c r="T16" s="244"/>
      <c r="U16" s="244"/>
      <c r="V16" s="244"/>
      <c r="W16" s="244"/>
      <c r="X16" s="244"/>
      <c r="Y16" s="244"/>
      <c r="Z16" s="244"/>
      <c r="AA16" s="244"/>
      <c r="AB16" s="244"/>
    </row>
    <row r="17" spans="1:28" ht="13.35" customHeight="1">
      <c r="A17" s="50" t="s">
        <v>5</v>
      </c>
      <c r="B17" s="141"/>
      <c r="C17" s="80"/>
      <c r="D17" s="93"/>
      <c r="E17" s="226"/>
      <c r="F17" s="89"/>
      <c r="G17" s="81"/>
      <c r="H17" s="82"/>
      <c r="I17" s="83" t="str">
        <f t="shared" si="2"/>
        <v/>
      </c>
      <c r="J17" s="361" t="str">
        <f t="shared" si="3"/>
        <v/>
      </c>
      <c r="K17" s="200">
        <v>14</v>
      </c>
      <c r="L17" s="133">
        <f t="shared" si="4"/>
        <v>0</v>
      </c>
      <c r="M17" s="135" t="s">
        <v>5</v>
      </c>
      <c r="O17" s="244"/>
      <c r="P17" s="244"/>
      <c r="Q17" s="244"/>
      <c r="R17" s="244"/>
      <c r="S17" s="244"/>
      <c r="T17" s="244"/>
      <c r="U17" s="244"/>
      <c r="V17" s="244"/>
      <c r="W17" s="244"/>
      <c r="X17" s="244"/>
      <c r="Y17" s="244"/>
      <c r="Z17" s="244"/>
      <c r="AA17" s="244"/>
      <c r="AB17" s="244"/>
    </row>
    <row r="18" spans="1:28" ht="13.35" customHeight="1">
      <c r="A18" s="50" t="s">
        <v>5</v>
      </c>
      <c r="B18" s="141"/>
      <c r="C18" s="80"/>
      <c r="D18" s="93"/>
      <c r="E18" s="226"/>
      <c r="F18" s="89"/>
      <c r="G18" s="81"/>
      <c r="H18" s="82"/>
      <c r="I18" s="83" t="str">
        <f t="shared" si="2"/>
        <v/>
      </c>
      <c r="J18" s="361" t="str">
        <f t="shared" si="3"/>
        <v/>
      </c>
      <c r="K18" s="200">
        <v>15</v>
      </c>
      <c r="L18" s="133">
        <f t="shared" si="4"/>
        <v>0</v>
      </c>
      <c r="M18" s="135" t="s">
        <v>5</v>
      </c>
      <c r="O18" s="244"/>
      <c r="P18" s="244"/>
      <c r="Q18" s="244"/>
      <c r="R18" s="244"/>
      <c r="S18" s="244"/>
      <c r="T18" s="244"/>
      <c r="U18" s="244"/>
      <c r="V18" s="244"/>
      <c r="W18" s="244"/>
      <c r="X18" s="244"/>
      <c r="Y18" s="244"/>
      <c r="Z18" s="244"/>
      <c r="AA18" s="244"/>
      <c r="AB18" s="244"/>
    </row>
    <row r="19" spans="1:28" ht="13.35" customHeight="1">
      <c r="A19" s="50" t="s">
        <v>5</v>
      </c>
      <c r="B19" s="141"/>
      <c r="C19" s="80"/>
      <c r="D19" s="93"/>
      <c r="E19" s="226"/>
      <c r="F19" s="89"/>
      <c r="G19" s="81"/>
      <c r="H19" s="82"/>
      <c r="I19" s="83" t="str">
        <f t="shared" si="2"/>
        <v/>
      </c>
      <c r="J19" s="361" t="str">
        <f t="shared" si="3"/>
        <v/>
      </c>
      <c r="K19" s="200">
        <v>16</v>
      </c>
      <c r="L19" s="133">
        <f t="shared" si="4"/>
        <v>0</v>
      </c>
      <c r="M19" s="135" t="s">
        <v>5</v>
      </c>
      <c r="O19" s="244"/>
      <c r="P19" s="244"/>
      <c r="Q19" s="244"/>
      <c r="R19" s="244"/>
      <c r="S19" s="244"/>
      <c r="T19" s="244"/>
      <c r="U19" s="244"/>
      <c r="V19" s="244"/>
      <c r="W19" s="244"/>
      <c r="X19" s="244"/>
      <c r="Y19" s="244"/>
      <c r="Z19" s="244"/>
      <c r="AA19" s="244"/>
      <c r="AB19" s="244"/>
    </row>
    <row r="20" spans="1:28" ht="13.35" customHeight="1">
      <c r="A20" s="50" t="s">
        <v>5</v>
      </c>
      <c r="B20" s="141"/>
      <c r="C20" s="80"/>
      <c r="D20" s="93"/>
      <c r="E20" s="226"/>
      <c r="F20" s="89"/>
      <c r="G20" s="81"/>
      <c r="H20" s="82"/>
      <c r="I20" s="83" t="str">
        <f t="shared" si="2"/>
        <v/>
      </c>
      <c r="J20" s="361" t="str">
        <f t="shared" si="3"/>
        <v/>
      </c>
      <c r="K20" s="200">
        <v>17</v>
      </c>
      <c r="L20" s="133">
        <f t="shared" si="4"/>
        <v>0</v>
      </c>
      <c r="M20" s="135" t="s">
        <v>5</v>
      </c>
      <c r="O20" s="244"/>
      <c r="P20" s="244"/>
      <c r="Q20" s="244"/>
      <c r="R20" s="244"/>
      <c r="S20" s="244"/>
      <c r="T20" s="244"/>
      <c r="U20" s="244"/>
      <c r="V20" s="244"/>
      <c r="W20" s="244"/>
      <c r="X20" s="244"/>
      <c r="Y20" s="244"/>
      <c r="Z20" s="244"/>
      <c r="AA20" s="244"/>
      <c r="AB20" s="244"/>
    </row>
    <row r="21" spans="1:28" ht="13.35" customHeight="1">
      <c r="A21" s="50" t="s">
        <v>5</v>
      </c>
      <c r="B21" s="141"/>
      <c r="C21" s="80"/>
      <c r="D21" s="93"/>
      <c r="E21" s="226"/>
      <c r="F21" s="89"/>
      <c r="G21" s="81"/>
      <c r="H21" s="82"/>
      <c r="I21" s="83" t="str">
        <f t="shared" si="2"/>
        <v/>
      </c>
      <c r="J21" s="361" t="str">
        <f t="shared" si="3"/>
        <v/>
      </c>
      <c r="K21" s="200">
        <v>18</v>
      </c>
      <c r="L21" s="133">
        <f t="shared" si="4"/>
        <v>0</v>
      </c>
      <c r="M21" s="135" t="s">
        <v>5</v>
      </c>
      <c r="O21" s="244"/>
      <c r="P21" s="244"/>
      <c r="Q21" s="244"/>
      <c r="R21" s="244"/>
      <c r="S21" s="244"/>
      <c r="T21" s="244"/>
      <c r="U21" s="244"/>
      <c r="V21" s="244"/>
      <c r="W21" s="244"/>
      <c r="X21" s="244"/>
      <c r="Y21" s="244"/>
      <c r="Z21" s="244"/>
      <c r="AA21" s="244"/>
      <c r="AB21" s="244"/>
    </row>
    <row r="22" spans="1:28" ht="13.35" customHeight="1">
      <c r="A22" s="50" t="s">
        <v>5</v>
      </c>
      <c r="B22" s="141"/>
      <c r="C22" s="80"/>
      <c r="D22" s="93"/>
      <c r="E22" s="226"/>
      <c r="F22" s="89"/>
      <c r="G22" s="81"/>
      <c r="H22" s="82"/>
      <c r="I22" s="83" t="str">
        <f t="shared" si="2"/>
        <v/>
      </c>
      <c r="J22" s="361" t="str">
        <f t="shared" si="3"/>
        <v/>
      </c>
      <c r="K22" s="200">
        <v>19</v>
      </c>
      <c r="L22" s="133">
        <f t="shared" si="4"/>
        <v>0</v>
      </c>
      <c r="M22" s="135" t="s">
        <v>5</v>
      </c>
      <c r="O22" s="244"/>
      <c r="P22" s="244"/>
      <c r="Q22" s="244"/>
      <c r="R22" s="244"/>
      <c r="S22" s="244"/>
      <c r="T22" s="244"/>
      <c r="U22" s="244"/>
      <c r="V22" s="244"/>
      <c r="W22" s="244"/>
      <c r="X22" s="244"/>
      <c r="Y22" s="244"/>
      <c r="Z22" s="244"/>
      <c r="AA22" s="244"/>
      <c r="AB22" s="244"/>
    </row>
    <row r="23" spans="1:28" ht="13.35" customHeight="1">
      <c r="A23" s="50" t="s">
        <v>5</v>
      </c>
      <c r="B23" s="141"/>
      <c r="C23" s="80"/>
      <c r="D23" s="94"/>
      <c r="E23" s="226"/>
      <c r="F23" s="89"/>
      <c r="G23" s="81"/>
      <c r="H23" s="82"/>
      <c r="I23" s="83" t="str">
        <f t="shared" si="2"/>
        <v/>
      </c>
      <c r="J23" s="361" t="str">
        <f t="shared" si="3"/>
        <v/>
      </c>
      <c r="K23" s="200">
        <v>20</v>
      </c>
      <c r="L23" s="133">
        <f t="shared" si="4"/>
        <v>0</v>
      </c>
      <c r="M23" s="135" t="s">
        <v>5</v>
      </c>
      <c r="O23" s="244"/>
      <c r="P23" s="244"/>
      <c r="Q23" s="244"/>
      <c r="R23" s="244"/>
      <c r="S23" s="244"/>
      <c r="T23" s="244"/>
      <c r="U23" s="244"/>
      <c r="V23" s="244"/>
      <c r="W23" s="244"/>
      <c r="X23" s="244"/>
      <c r="Y23" s="244"/>
      <c r="Z23" s="244"/>
      <c r="AA23" s="244"/>
      <c r="AB23" s="244"/>
    </row>
    <row r="24" spans="1:28" ht="13.35" customHeight="1">
      <c r="A24" s="50" t="s">
        <v>5</v>
      </c>
      <c r="B24" s="141"/>
      <c r="C24" s="80"/>
      <c r="D24" s="93"/>
      <c r="E24" s="226"/>
      <c r="F24" s="89"/>
      <c r="G24" s="81"/>
      <c r="H24" s="82"/>
      <c r="I24" s="83" t="str">
        <f t="shared" si="2"/>
        <v/>
      </c>
      <c r="J24" s="361" t="str">
        <f t="shared" si="3"/>
        <v/>
      </c>
      <c r="K24" s="200">
        <v>21</v>
      </c>
      <c r="L24" s="133">
        <f t="shared" si="4"/>
        <v>0</v>
      </c>
      <c r="M24" s="135" t="s">
        <v>5</v>
      </c>
      <c r="O24" s="244"/>
      <c r="P24" s="244"/>
      <c r="Q24" s="244"/>
      <c r="R24" s="244"/>
      <c r="S24" s="244"/>
      <c r="T24" s="244"/>
      <c r="U24" s="244"/>
      <c r="V24" s="244"/>
      <c r="W24" s="244"/>
      <c r="X24" s="244"/>
      <c r="Y24" s="244"/>
      <c r="Z24" s="244"/>
      <c r="AA24" s="244"/>
      <c r="AB24" s="244"/>
    </row>
    <row r="25" spans="1:28" ht="13.35" customHeight="1">
      <c r="A25" s="50" t="s">
        <v>5</v>
      </c>
      <c r="B25" s="141"/>
      <c r="C25" s="80"/>
      <c r="D25" s="93"/>
      <c r="E25" s="226"/>
      <c r="F25" s="89"/>
      <c r="G25" s="81"/>
      <c r="H25" s="82"/>
      <c r="I25" s="83" t="str">
        <f t="shared" si="2"/>
        <v/>
      </c>
      <c r="J25" s="361" t="str">
        <f t="shared" si="3"/>
        <v/>
      </c>
      <c r="K25" s="200">
        <v>22</v>
      </c>
      <c r="L25" s="133">
        <f t="shared" si="4"/>
        <v>0</v>
      </c>
      <c r="M25" s="135" t="s">
        <v>5</v>
      </c>
      <c r="O25" s="244"/>
      <c r="P25" s="244"/>
      <c r="Q25" s="244"/>
      <c r="R25" s="244"/>
      <c r="S25" s="244"/>
      <c r="T25" s="244"/>
      <c r="U25" s="244"/>
      <c r="V25" s="244"/>
      <c r="W25" s="244"/>
      <c r="X25" s="244"/>
      <c r="Y25" s="244"/>
      <c r="Z25" s="244"/>
      <c r="AA25" s="244"/>
      <c r="AB25" s="244"/>
    </row>
    <row r="26" spans="1:28" ht="13.35" customHeight="1">
      <c r="A26" s="50" t="s">
        <v>5</v>
      </c>
      <c r="B26" s="141"/>
      <c r="C26" s="80"/>
      <c r="D26" s="93"/>
      <c r="E26" s="226"/>
      <c r="F26" s="89"/>
      <c r="G26" s="81"/>
      <c r="H26" s="82"/>
      <c r="I26" s="83" t="str">
        <f t="shared" si="2"/>
        <v/>
      </c>
      <c r="J26" s="361" t="str">
        <f t="shared" si="3"/>
        <v/>
      </c>
      <c r="K26" s="200">
        <v>23</v>
      </c>
      <c r="L26" s="133">
        <f t="shared" si="4"/>
        <v>0</v>
      </c>
      <c r="M26" s="135" t="s">
        <v>5</v>
      </c>
      <c r="O26" s="244"/>
      <c r="P26" s="244"/>
      <c r="Q26" s="244"/>
      <c r="R26" s="244"/>
      <c r="S26" s="244"/>
      <c r="T26" s="244"/>
      <c r="U26" s="244"/>
      <c r="V26" s="244"/>
      <c r="W26" s="244"/>
      <c r="X26" s="244"/>
      <c r="Y26" s="244"/>
      <c r="Z26" s="244"/>
      <c r="AA26" s="244"/>
      <c r="AB26" s="244"/>
    </row>
    <row r="27" spans="1:28" ht="13.35" customHeight="1">
      <c r="A27" s="50" t="s">
        <v>5</v>
      </c>
      <c r="B27" s="141"/>
      <c r="C27" s="80"/>
      <c r="D27" s="93"/>
      <c r="E27" s="226"/>
      <c r="F27" s="89"/>
      <c r="G27" s="81"/>
      <c r="H27" s="82"/>
      <c r="I27" s="83" t="str">
        <f t="shared" si="2"/>
        <v/>
      </c>
      <c r="J27" s="361" t="str">
        <f t="shared" si="3"/>
        <v/>
      </c>
      <c r="K27" s="200">
        <v>24</v>
      </c>
      <c r="L27" s="133">
        <f t="shared" si="4"/>
        <v>0</v>
      </c>
      <c r="M27" s="135" t="s">
        <v>5</v>
      </c>
      <c r="O27" s="244"/>
      <c r="P27" s="244"/>
      <c r="Q27" s="244"/>
      <c r="R27" s="244"/>
      <c r="S27" s="244"/>
      <c r="T27" s="244"/>
      <c r="U27" s="244"/>
      <c r="V27" s="244"/>
      <c r="W27" s="244"/>
      <c r="X27" s="244"/>
      <c r="Y27" s="244"/>
      <c r="Z27" s="244"/>
      <c r="AA27" s="244"/>
      <c r="AB27" s="244"/>
    </row>
    <row r="28" spans="1:28" ht="13.35" customHeight="1">
      <c r="A28" s="50" t="s">
        <v>5</v>
      </c>
      <c r="B28" s="141"/>
      <c r="C28" s="80"/>
      <c r="D28" s="93"/>
      <c r="E28" s="226"/>
      <c r="F28" s="89"/>
      <c r="G28" s="81"/>
      <c r="H28" s="82"/>
      <c r="I28" s="83" t="str">
        <f t="shared" si="2"/>
        <v/>
      </c>
      <c r="J28" s="361" t="str">
        <f t="shared" si="3"/>
        <v/>
      </c>
      <c r="K28" s="200">
        <v>25</v>
      </c>
      <c r="L28" s="133">
        <f t="shared" si="4"/>
        <v>0</v>
      </c>
      <c r="M28" s="135" t="s">
        <v>5</v>
      </c>
      <c r="O28" s="244"/>
      <c r="P28" s="244"/>
      <c r="Q28" s="244"/>
      <c r="R28" s="244"/>
      <c r="S28" s="244"/>
      <c r="T28" s="244"/>
      <c r="U28" s="244"/>
      <c r="V28" s="244"/>
      <c r="W28" s="244"/>
      <c r="X28" s="244"/>
      <c r="Y28" s="244"/>
      <c r="Z28" s="244"/>
      <c r="AA28" s="244"/>
      <c r="AB28" s="244"/>
    </row>
    <row r="29" spans="1:28" ht="13.35" customHeight="1">
      <c r="A29" s="50" t="s">
        <v>5</v>
      </c>
      <c r="B29" s="141"/>
      <c r="C29" s="80"/>
      <c r="D29" s="93"/>
      <c r="E29" s="226"/>
      <c r="F29" s="89"/>
      <c r="G29" s="81"/>
      <c r="H29" s="82"/>
      <c r="I29" s="83" t="str">
        <f t="shared" si="2"/>
        <v/>
      </c>
      <c r="J29" s="361" t="str">
        <f t="shared" si="3"/>
        <v/>
      </c>
      <c r="K29" s="200">
        <v>26</v>
      </c>
      <c r="L29" s="133">
        <f t="shared" si="4"/>
        <v>0</v>
      </c>
      <c r="M29" s="135" t="s">
        <v>5</v>
      </c>
      <c r="O29" s="244"/>
      <c r="P29" s="244"/>
      <c r="Q29" s="244"/>
      <c r="R29" s="244"/>
      <c r="S29" s="244"/>
      <c r="T29" s="244"/>
      <c r="U29" s="244"/>
      <c r="V29" s="244"/>
      <c r="W29" s="244"/>
      <c r="X29" s="244"/>
      <c r="Y29" s="244"/>
      <c r="Z29" s="244"/>
      <c r="AA29" s="244"/>
      <c r="AB29" s="244"/>
    </row>
    <row r="30" spans="1:28" ht="13.35" customHeight="1">
      <c r="A30" s="50" t="s">
        <v>5</v>
      </c>
      <c r="B30" s="141"/>
      <c r="C30" s="80"/>
      <c r="D30" s="93"/>
      <c r="E30" s="226"/>
      <c r="F30" s="89"/>
      <c r="G30" s="81"/>
      <c r="H30" s="82"/>
      <c r="I30" s="83" t="str">
        <f t="shared" si="2"/>
        <v/>
      </c>
      <c r="J30" s="361" t="str">
        <f t="shared" si="3"/>
        <v/>
      </c>
      <c r="K30" s="200">
        <v>27</v>
      </c>
      <c r="L30" s="133">
        <f t="shared" si="4"/>
        <v>0</v>
      </c>
      <c r="M30" s="135" t="s">
        <v>5</v>
      </c>
      <c r="O30" s="244"/>
      <c r="P30" s="244"/>
      <c r="Q30" s="244"/>
      <c r="R30" s="244"/>
      <c r="S30" s="244"/>
      <c r="T30" s="244"/>
      <c r="U30" s="244"/>
      <c r="V30" s="244"/>
      <c r="W30" s="244"/>
      <c r="X30" s="244"/>
      <c r="Y30" s="244"/>
      <c r="Z30" s="244"/>
      <c r="AA30" s="244"/>
      <c r="AB30" s="244"/>
    </row>
    <row r="31" spans="1:28" ht="13.35" customHeight="1">
      <c r="A31" s="50" t="s">
        <v>5</v>
      </c>
      <c r="B31" s="141"/>
      <c r="C31" s="80"/>
      <c r="D31" s="93"/>
      <c r="E31" s="226"/>
      <c r="F31" s="89"/>
      <c r="G31" s="81"/>
      <c r="H31" s="82"/>
      <c r="I31" s="83" t="str">
        <f t="shared" si="2"/>
        <v/>
      </c>
      <c r="J31" s="361" t="str">
        <f t="shared" si="3"/>
        <v/>
      </c>
      <c r="K31" s="200">
        <v>28</v>
      </c>
      <c r="L31" s="133">
        <f t="shared" si="4"/>
        <v>0</v>
      </c>
      <c r="M31" s="135" t="s">
        <v>5</v>
      </c>
      <c r="O31" s="244"/>
      <c r="P31" s="244"/>
      <c r="Q31" s="244"/>
      <c r="R31" s="244"/>
      <c r="S31" s="244"/>
      <c r="T31" s="244"/>
      <c r="U31" s="244"/>
      <c r="V31" s="244"/>
      <c r="W31" s="244"/>
      <c r="X31" s="244"/>
      <c r="Y31" s="244"/>
      <c r="Z31" s="244"/>
      <c r="AA31" s="244"/>
      <c r="AB31" s="244"/>
    </row>
    <row r="32" spans="1:28" ht="13.35" customHeight="1">
      <c r="A32" s="50" t="s">
        <v>5</v>
      </c>
      <c r="B32" s="141"/>
      <c r="C32" s="80"/>
      <c r="D32" s="93"/>
      <c r="E32" s="226"/>
      <c r="F32" s="89"/>
      <c r="G32" s="81"/>
      <c r="H32" s="82"/>
      <c r="I32" s="83" t="str">
        <f t="shared" si="2"/>
        <v/>
      </c>
      <c r="J32" s="361" t="str">
        <f t="shared" si="3"/>
        <v/>
      </c>
      <c r="K32" s="200">
        <v>29</v>
      </c>
      <c r="L32" s="133">
        <f t="shared" si="4"/>
        <v>0</v>
      </c>
      <c r="M32" s="135" t="s">
        <v>5</v>
      </c>
      <c r="O32" s="244"/>
      <c r="P32" s="244"/>
      <c r="Q32" s="244"/>
      <c r="R32" s="244"/>
      <c r="S32" s="244"/>
      <c r="T32" s="244"/>
      <c r="U32" s="244"/>
      <c r="V32" s="244"/>
      <c r="W32" s="244"/>
      <c r="X32" s="244"/>
      <c r="Y32" s="244"/>
      <c r="Z32" s="244"/>
      <c r="AA32" s="244"/>
      <c r="AB32" s="244"/>
    </row>
    <row r="33" spans="1:28" ht="13.35" customHeight="1">
      <c r="A33" s="50" t="s">
        <v>5</v>
      </c>
      <c r="B33" s="141"/>
      <c r="C33" s="80"/>
      <c r="D33" s="93"/>
      <c r="E33" s="226"/>
      <c r="F33" s="89"/>
      <c r="G33" s="81"/>
      <c r="H33" s="82"/>
      <c r="I33" s="83" t="str">
        <f t="shared" si="2"/>
        <v/>
      </c>
      <c r="J33" s="361" t="str">
        <f t="shared" si="3"/>
        <v/>
      </c>
      <c r="K33" s="200">
        <v>30</v>
      </c>
      <c r="L33" s="133">
        <f t="shared" si="4"/>
        <v>0</v>
      </c>
      <c r="M33" s="135" t="s">
        <v>5</v>
      </c>
      <c r="O33" s="244"/>
      <c r="P33" s="244"/>
      <c r="Q33" s="244"/>
      <c r="R33" s="244"/>
      <c r="S33" s="244"/>
      <c r="T33" s="244"/>
      <c r="U33" s="244"/>
      <c r="V33" s="244"/>
      <c r="W33" s="244"/>
      <c r="X33" s="244"/>
      <c r="Y33" s="244"/>
      <c r="Z33" s="244"/>
      <c r="AA33" s="244"/>
      <c r="AB33" s="244"/>
    </row>
    <row r="34" spans="1:28" ht="13.35" customHeight="1">
      <c r="A34" s="50" t="s">
        <v>5</v>
      </c>
      <c r="B34" s="141"/>
      <c r="C34" s="80"/>
      <c r="D34" s="93"/>
      <c r="E34" s="226"/>
      <c r="F34" s="89"/>
      <c r="G34" s="81"/>
      <c r="H34" s="82"/>
      <c r="I34" s="83" t="str">
        <f t="shared" si="2"/>
        <v/>
      </c>
      <c r="J34" s="361" t="str">
        <f t="shared" si="3"/>
        <v/>
      </c>
      <c r="K34" s="200">
        <v>31</v>
      </c>
      <c r="L34" s="133">
        <f t="shared" si="4"/>
        <v>0</v>
      </c>
      <c r="M34" s="135" t="s">
        <v>5</v>
      </c>
      <c r="O34" s="244"/>
      <c r="P34" s="244"/>
      <c r="Q34" s="244"/>
      <c r="R34" s="244"/>
      <c r="S34" s="244"/>
      <c r="T34" s="244"/>
      <c r="U34" s="244"/>
      <c r="V34" s="244"/>
      <c r="W34" s="244"/>
      <c r="X34" s="244"/>
      <c r="Y34" s="244"/>
      <c r="Z34" s="244"/>
      <c r="AA34" s="244"/>
      <c r="AB34" s="244"/>
    </row>
    <row r="35" spans="1:28" ht="13.35" customHeight="1">
      <c r="A35" s="50" t="s">
        <v>5</v>
      </c>
      <c r="B35" s="141"/>
      <c r="C35" s="80"/>
      <c r="D35" s="93"/>
      <c r="E35" s="226"/>
      <c r="F35" s="89"/>
      <c r="G35" s="81"/>
      <c r="H35" s="82"/>
      <c r="I35" s="83" t="str">
        <f t="shared" si="2"/>
        <v/>
      </c>
      <c r="J35" s="361" t="str">
        <f t="shared" si="3"/>
        <v/>
      </c>
      <c r="K35" s="200">
        <v>32</v>
      </c>
      <c r="L35" s="133">
        <f t="shared" si="4"/>
        <v>0</v>
      </c>
      <c r="M35" s="135" t="s">
        <v>5</v>
      </c>
      <c r="O35" s="244"/>
      <c r="P35" s="244"/>
      <c r="Q35" s="244"/>
      <c r="R35" s="244"/>
      <c r="S35" s="244"/>
      <c r="T35" s="244"/>
      <c r="U35" s="244"/>
      <c r="V35" s="244"/>
      <c r="W35" s="244"/>
      <c r="X35" s="244"/>
      <c r="Y35" s="244"/>
      <c r="Z35" s="244"/>
      <c r="AA35" s="244"/>
      <c r="AB35" s="244"/>
    </row>
    <row r="36" spans="1:28" ht="13.35" customHeight="1">
      <c r="A36" s="50" t="s">
        <v>5</v>
      </c>
      <c r="B36" s="141"/>
      <c r="C36" s="80"/>
      <c r="D36" s="93"/>
      <c r="E36" s="226"/>
      <c r="F36" s="89"/>
      <c r="G36" s="81"/>
      <c r="H36" s="82"/>
      <c r="I36" s="83" t="str">
        <f t="shared" si="2"/>
        <v/>
      </c>
      <c r="J36" s="361" t="str">
        <f t="shared" si="3"/>
        <v/>
      </c>
      <c r="K36" s="200">
        <v>33</v>
      </c>
      <c r="L36" s="133">
        <f t="shared" si="4"/>
        <v>0</v>
      </c>
      <c r="M36" s="135" t="s">
        <v>5</v>
      </c>
      <c r="O36" s="244"/>
      <c r="P36" s="244"/>
      <c r="Q36" s="244"/>
      <c r="R36" s="244"/>
      <c r="S36" s="244"/>
      <c r="T36" s="244"/>
      <c r="U36" s="244"/>
      <c r="V36" s="244"/>
      <c r="W36" s="244"/>
      <c r="X36" s="244"/>
      <c r="Y36" s="244"/>
      <c r="Z36" s="244"/>
      <c r="AA36" s="244"/>
      <c r="AB36" s="244"/>
    </row>
    <row r="37" spans="1:28" ht="13.35" customHeight="1">
      <c r="A37" s="50" t="s">
        <v>5</v>
      </c>
      <c r="B37" s="141"/>
      <c r="C37" s="80"/>
      <c r="D37" s="93"/>
      <c r="E37" s="226"/>
      <c r="F37" s="89"/>
      <c r="G37" s="81"/>
      <c r="H37" s="82"/>
      <c r="I37" s="83" t="str">
        <f t="shared" si="2"/>
        <v/>
      </c>
      <c r="J37" s="361" t="str">
        <f t="shared" si="3"/>
        <v/>
      </c>
      <c r="K37" s="200">
        <v>34</v>
      </c>
      <c r="L37" s="133">
        <f t="shared" si="4"/>
        <v>0</v>
      </c>
      <c r="M37" s="135" t="s">
        <v>5</v>
      </c>
      <c r="O37" s="244"/>
      <c r="P37" s="244"/>
      <c r="Q37" s="244"/>
      <c r="R37" s="244"/>
      <c r="S37" s="244"/>
      <c r="T37" s="244"/>
      <c r="U37" s="244"/>
      <c r="V37" s="244"/>
      <c r="W37" s="244"/>
      <c r="X37" s="244"/>
      <c r="Y37" s="244"/>
      <c r="Z37" s="244"/>
      <c r="AA37" s="244"/>
      <c r="AB37" s="244"/>
    </row>
    <row r="38" spans="1:28" ht="13.35" customHeight="1">
      <c r="A38" s="50" t="s">
        <v>5</v>
      </c>
      <c r="B38" s="141"/>
      <c r="C38" s="80"/>
      <c r="D38" s="93"/>
      <c r="E38" s="226"/>
      <c r="F38" s="89"/>
      <c r="G38" s="81"/>
      <c r="H38" s="82"/>
      <c r="I38" s="83" t="str">
        <f t="shared" si="2"/>
        <v/>
      </c>
      <c r="J38" s="361" t="str">
        <f t="shared" si="3"/>
        <v/>
      </c>
      <c r="K38" s="200">
        <v>35</v>
      </c>
      <c r="L38" s="133">
        <f t="shared" si="4"/>
        <v>0</v>
      </c>
      <c r="M38" s="135" t="s">
        <v>5</v>
      </c>
      <c r="O38" s="244"/>
      <c r="P38" s="244"/>
      <c r="Q38" s="244"/>
      <c r="R38" s="244"/>
      <c r="S38" s="244"/>
      <c r="T38" s="244"/>
      <c r="U38" s="244"/>
      <c r="V38" s="244"/>
      <c r="W38" s="244"/>
      <c r="X38" s="244"/>
      <c r="Y38" s="244"/>
      <c r="Z38" s="244"/>
      <c r="AA38" s="244"/>
      <c r="AB38" s="244"/>
    </row>
    <row r="39" spans="1:28" ht="13.35" customHeight="1">
      <c r="A39" s="50" t="s">
        <v>5</v>
      </c>
      <c r="B39" s="141"/>
      <c r="C39" s="80"/>
      <c r="D39" s="93"/>
      <c r="E39" s="226"/>
      <c r="F39" s="89"/>
      <c r="G39" s="81"/>
      <c r="H39" s="82"/>
      <c r="I39" s="83" t="str">
        <f t="shared" si="2"/>
        <v/>
      </c>
      <c r="J39" s="361" t="str">
        <f t="shared" si="3"/>
        <v/>
      </c>
      <c r="K39" s="200">
        <v>36</v>
      </c>
      <c r="L39" s="133">
        <f t="shared" si="4"/>
        <v>0</v>
      </c>
      <c r="M39" s="135" t="s">
        <v>5</v>
      </c>
      <c r="O39" s="244"/>
      <c r="P39" s="244"/>
      <c r="Q39" s="244"/>
      <c r="R39" s="244"/>
      <c r="S39" s="244"/>
      <c r="T39" s="244"/>
      <c r="U39" s="244"/>
      <c r="V39" s="244"/>
      <c r="W39" s="244"/>
      <c r="X39" s="244"/>
      <c r="Y39" s="244"/>
      <c r="Z39" s="244"/>
      <c r="AA39" s="244"/>
      <c r="AB39" s="244"/>
    </row>
    <row r="40" spans="1:28" ht="13.35" customHeight="1">
      <c r="A40" s="50" t="s">
        <v>5</v>
      </c>
      <c r="B40" s="141"/>
      <c r="C40" s="80"/>
      <c r="D40" s="93"/>
      <c r="E40" s="226"/>
      <c r="F40" s="89"/>
      <c r="G40" s="81"/>
      <c r="H40" s="82"/>
      <c r="I40" s="83" t="str">
        <f t="shared" si="2"/>
        <v/>
      </c>
      <c r="J40" s="361" t="str">
        <f t="shared" si="3"/>
        <v/>
      </c>
      <c r="K40" s="200">
        <v>37</v>
      </c>
      <c r="L40" s="133">
        <f t="shared" si="4"/>
        <v>0</v>
      </c>
      <c r="M40" s="135" t="s">
        <v>5</v>
      </c>
      <c r="O40" s="244"/>
      <c r="P40" s="244"/>
      <c r="Q40" s="244"/>
      <c r="R40" s="244"/>
      <c r="S40" s="244"/>
      <c r="T40" s="244"/>
      <c r="U40" s="244"/>
      <c r="V40" s="244"/>
      <c r="W40" s="244"/>
      <c r="X40" s="244"/>
      <c r="Y40" s="244"/>
      <c r="Z40" s="244"/>
      <c r="AA40" s="244"/>
      <c r="AB40" s="244"/>
    </row>
    <row r="41" spans="1:28" ht="13.35" customHeight="1">
      <c r="A41" s="50" t="s">
        <v>5</v>
      </c>
      <c r="B41" s="141"/>
      <c r="C41" s="80"/>
      <c r="D41" s="93"/>
      <c r="E41" s="226"/>
      <c r="F41" s="89"/>
      <c r="G41" s="81"/>
      <c r="H41" s="82"/>
      <c r="I41" s="83" t="str">
        <f t="shared" si="2"/>
        <v/>
      </c>
      <c r="J41" s="361" t="str">
        <f t="shared" si="3"/>
        <v/>
      </c>
      <c r="K41" s="200">
        <v>38</v>
      </c>
      <c r="L41" s="133">
        <f t="shared" si="4"/>
        <v>0</v>
      </c>
      <c r="M41" s="135" t="s">
        <v>5</v>
      </c>
      <c r="O41" s="244"/>
      <c r="P41" s="244"/>
      <c r="Q41" s="244"/>
      <c r="R41" s="244"/>
      <c r="S41" s="244"/>
      <c r="T41" s="244"/>
      <c r="U41" s="244"/>
      <c r="V41" s="244"/>
      <c r="W41" s="244"/>
      <c r="X41" s="244"/>
      <c r="Y41" s="244"/>
      <c r="Z41" s="244"/>
      <c r="AA41" s="244"/>
      <c r="AB41" s="244"/>
    </row>
    <row r="42" spans="1:28" ht="13.35" customHeight="1">
      <c r="A42" s="50" t="s">
        <v>5</v>
      </c>
      <c r="B42" s="141"/>
      <c r="C42" s="80"/>
      <c r="D42" s="93"/>
      <c r="E42" s="226"/>
      <c r="F42" s="89"/>
      <c r="G42" s="81"/>
      <c r="H42" s="82"/>
      <c r="I42" s="83" t="str">
        <f t="shared" si="2"/>
        <v/>
      </c>
      <c r="J42" s="361" t="str">
        <f t="shared" si="3"/>
        <v/>
      </c>
      <c r="K42" s="200">
        <v>39</v>
      </c>
      <c r="L42" s="133">
        <f t="shared" si="4"/>
        <v>0</v>
      </c>
      <c r="M42" s="135" t="s">
        <v>5</v>
      </c>
      <c r="O42" s="244"/>
      <c r="P42" s="244"/>
      <c r="Q42" s="244"/>
      <c r="R42" s="244"/>
      <c r="S42" s="244"/>
      <c r="T42" s="244"/>
      <c r="U42" s="244"/>
      <c r="V42" s="244"/>
      <c r="W42" s="244"/>
      <c r="X42" s="244"/>
      <c r="Y42" s="244"/>
      <c r="Z42" s="244"/>
      <c r="AA42" s="244"/>
      <c r="AB42" s="244"/>
    </row>
    <row r="43" spans="1:28" ht="13.35" customHeight="1">
      <c r="A43" s="50" t="s">
        <v>5</v>
      </c>
      <c r="B43" s="141"/>
      <c r="C43" s="80"/>
      <c r="D43" s="93"/>
      <c r="E43" s="226"/>
      <c r="F43" s="89"/>
      <c r="G43" s="81"/>
      <c r="H43" s="82"/>
      <c r="I43" s="83" t="str">
        <f t="shared" si="2"/>
        <v/>
      </c>
      <c r="J43" s="361" t="str">
        <f t="shared" si="3"/>
        <v/>
      </c>
      <c r="K43" s="200">
        <v>40</v>
      </c>
      <c r="L43" s="133">
        <f t="shared" si="4"/>
        <v>0</v>
      </c>
      <c r="M43" s="135" t="s">
        <v>5</v>
      </c>
      <c r="O43" s="244"/>
      <c r="P43" s="244"/>
      <c r="Q43" s="244"/>
      <c r="R43" s="244"/>
      <c r="S43" s="244"/>
      <c r="T43" s="244"/>
      <c r="U43" s="244"/>
      <c r="V43" s="244"/>
      <c r="W43" s="244"/>
      <c r="X43" s="244"/>
      <c r="Y43" s="244"/>
      <c r="Z43" s="244"/>
      <c r="AA43" s="244"/>
      <c r="AB43" s="244"/>
    </row>
    <row r="44" spans="1:28" ht="13.35" customHeight="1">
      <c r="A44" s="50" t="s">
        <v>5</v>
      </c>
      <c r="B44" s="141"/>
      <c r="C44" s="80"/>
      <c r="D44" s="93"/>
      <c r="E44" s="226"/>
      <c r="F44" s="89"/>
      <c r="G44" s="81"/>
      <c r="H44" s="82"/>
      <c r="I44" s="83" t="str">
        <f t="shared" si="2"/>
        <v/>
      </c>
      <c r="J44" s="361" t="str">
        <f t="shared" si="3"/>
        <v/>
      </c>
      <c r="K44" s="200">
        <v>41</v>
      </c>
      <c r="L44" s="133">
        <f t="shared" si="4"/>
        <v>0</v>
      </c>
      <c r="M44" s="135" t="s">
        <v>5</v>
      </c>
      <c r="O44" s="244"/>
      <c r="P44" s="244"/>
      <c r="Q44" s="244"/>
      <c r="R44" s="244"/>
      <c r="S44" s="244"/>
      <c r="T44" s="244"/>
      <c r="U44" s="244"/>
      <c r="V44" s="244"/>
      <c r="W44" s="244"/>
      <c r="X44" s="244"/>
      <c r="Y44" s="244"/>
      <c r="Z44" s="244"/>
      <c r="AA44" s="244"/>
      <c r="AB44" s="244"/>
    </row>
    <row r="45" spans="1:28" ht="13.35" customHeight="1">
      <c r="A45" s="50" t="s">
        <v>5</v>
      </c>
      <c r="B45" s="141"/>
      <c r="C45" s="80"/>
      <c r="D45" s="93"/>
      <c r="E45" s="226"/>
      <c r="F45" s="89"/>
      <c r="G45" s="81"/>
      <c r="H45" s="82"/>
      <c r="I45" s="83" t="str">
        <f t="shared" ref="I45:I46" si="7">IF(G45&lt;&gt;"",+G45-G45/(1+H45/100),"")</f>
        <v/>
      </c>
      <c r="J45" s="361" t="str">
        <f t="shared" ref="J45:J46" si="8">IF(G45&lt;&gt;0,+G45-I45,"")</f>
        <v/>
      </c>
      <c r="K45" s="200">
        <v>44</v>
      </c>
      <c r="L45" s="133">
        <f t="shared" ref="L45:L46" si="9">IF(B45&lt;$O$2,0,IF(B45&lt;$P$2,1,IF(B45&lt;$Q$2,2,IF(B45&lt;$R$2,3,IF(B45&lt;$S$2,4,IF(B45&lt;$T$2,5,IF(B45&lt;$U$2,6,IF(B45&lt;$V$2,7,IF(B45&lt;$W$2,8,IF(B45&lt;$X$2,9,IF(B45&lt;$Y$2,10,IF(B45&lt;$Z$2,11,IF(B45&lt;=$Z$3,12,0)))))))))))))</f>
        <v>0</v>
      </c>
      <c r="M45" s="135" t="s">
        <v>5</v>
      </c>
      <c r="O45" s="244"/>
      <c r="P45" s="244"/>
      <c r="Q45" s="244"/>
      <c r="R45" s="244"/>
      <c r="S45" s="244"/>
      <c r="T45" s="244"/>
      <c r="U45" s="244"/>
      <c r="V45" s="244"/>
      <c r="W45" s="244"/>
      <c r="X45" s="244"/>
      <c r="Y45" s="244"/>
      <c r="Z45" s="244"/>
      <c r="AA45" s="244"/>
      <c r="AB45" s="244"/>
    </row>
    <row r="46" spans="1:28" ht="13.35" customHeight="1" thickBot="1">
      <c r="A46" s="50" t="s">
        <v>5</v>
      </c>
      <c r="B46" s="141"/>
      <c r="C46" s="80"/>
      <c r="D46" s="93"/>
      <c r="E46" s="226"/>
      <c r="F46" s="89"/>
      <c r="G46" s="81"/>
      <c r="H46" s="82"/>
      <c r="I46" s="83" t="str">
        <f t="shared" si="7"/>
        <v/>
      </c>
      <c r="J46" s="361" t="str">
        <f t="shared" si="8"/>
        <v/>
      </c>
      <c r="K46" s="200">
        <v>45</v>
      </c>
      <c r="L46" s="133">
        <f t="shared" si="9"/>
        <v>0</v>
      </c>
      <c r="M46" s="135" t="s">
        <v>5</v>
      </c>
      <c r="O46" s="244"/>
      <c r="P46" s="244"/>
      <c r="Q46" s="244"/>
      <c r="R46" s="244"/>
      <c r="S46" s="244"/>
      <c r="T46" s="244"/>
      <c r="U46" s="244"/>
      <c r="V46" s="244"/>
      <c r="W46" s="244"/>
      <c r="X46" s="244"/>
      <c r="Y46" s="244"/>
      <c r="Z46" s="244"/>
      <c r="AA46" s="244"/>
      <c r="AB46" s="244"/>
    </row>
    <row r="47" spans="1:28" ht="12" customHeight="1" thickTop="1" thickBot="1">
      <c r="A47" s="391" t="s">
        <v>283</v>
      </c>
      <c r="B47" s="1244" t="str">
        <f>IF($A$48=0,"^ Zeile einfügen","bis hierher ziehen!")</f>
        <v>^ Zeile einfügen</v>
      </c>
      <c r="C47" s="1244"/>
      <c r="D47" s="392" t="s">
        <v>5</v>
      </c>
      <c r="E47" s="393" t="s">
        <v>5</v>
      </c>
      <c r="F47" s="394" t="s">
        <v>5</v>
      </c>
      <c r="G47" s="394"/>
      <c r="H47" s="395"/>
      <c r="I47" s="396"/>
      <c r="J47" s="425"/>
      <c r="K47" s="201">
        <v>0</v>
      </c>
      <c r="L47" s="185" t="s">
        <v>5</v>
      </c>
      <c r="M47" s="398" t="s">
        <v>283</v>
      </c>
    </row>
    <row r="48" spans="1:28" ht="12" customHeight="1" thickTop="1" thickBot="1">
      <c r="A48" s="390">
        <f>COUNTBLANK(A3:A47)+A49</f>
        <v>0</v>
      </c>
      <c r="B48" s="193" t="str">
        <f>+EÜR!C23</f>
        <v>ü</v>
      </c>
      <c r="C48" s="194" t="s">
        <v>5</v>
      </c>
      <c r="D48" s="194" t="s">
        <v>5</v>
      </c>
      <c r="E48" s="195" t="s">
        <v>5</v>
      </c>
      <c r="F48" s="196" t="s">
        <v>5</v>
      </c>
      <c r="G48" s="197">
        <f>SUBTOTAL(9,G3:G47)</f>
        <v>0</v>
      </c>
      <c r="H48" s="1242">
        <f>SUBTOTAL(9,I3:I47)</f>
        <v>0</v>
      </c>
      <c r="I48" s="1243">
        <f>SUBTOTAL(9,I3:I47)</f>
        <v>0</v>
      </c>
      <c r="J48" s="1293">
        <f>G48-H48</f>
        <v>0</v>
      </c>
      <c r="K48" s="1294"/>
      <c r="L48" s="1295"/>
      <c r="M48" s="135" t="s">
        <v>5</v>
      </c>
    </row>
    <row r="49" spans="1:14" ht="12" customHeight="1" thickTop="1" thickBot="1">
      <c r="A49" s="390">
        <f>IF(ISERROR(J47),1,0)</f>
        <v>0</v>
      </c>
      <c r="B49" s="192">
        <f>J48-G49-E49-C49</f>
        <v>0</v>
      </c>
      <c r="C49" s="1239">
        <f>SUMIF(F4:F47,"Kreditkarte",G4:G47)</f>
        <v>0</v>
      </c>
      <c r="D49" s="1239"/>
      <c r="E49" s="1240">
        <f>SUMIF(F4:F47,"Konto",G4:G47)</f>
        <v>0</v>
      </c>
      <c r="F49" s="1240"/>
      <c r="G49" s="1241">
        <f>SUMIF(F4:F47,"Geldbeutel",G4:G47)</f>
        <v>0</v>
      </c>
      <c r="H49" s="1241"/>
      <c r="I49" s="1241"/>
      <c r="J49" s="1296"/>
      <c r="K49" s="1297"/>
      <c r="L49" s="1298"/>
      <c r="M49" s="135" t="s">
        <v>5</v>
      </c>
    </row>
    <row r="50" spans="1:14" s="15" customFormat="1" ht="5.25" customHeight="1" thickTop="1">
      <c r="A50" s="36"/>
      <c r="B50" s="2"/>
      <c r="C50" s="3"/>
      <c r="D50" s="3"/>
      <c r="E50" s="1"/>
      <c r="G50" s="16"/>
      <c r="H50" s="16"/>
      <c r="I50" s="17"/>
      <c r="J50" s="18"/>
      <c r="K50" s="18"/>
      <c r="L50" s="31"/>
      <c r="N50" s="148"/>
    </row>
    <row r="51" spans="1:14">
      <c r="A51" s="36"/>
    </row>
  </sheetData>
  <sheetProtection formatCells="0" insertRows="0" deleteRows="0" selectLockedCells="1" sort="0" autoFilter="0"/>
  <mergeCells count="15">
    <mergeCell ref="C2:I2"/>
    <mergeCell ref="J2:L2"/>
    <mergeCell ref="AA9:AB9"/>
    <mergeCell ref="O10:Z10"/>
    <mergeCell ref="O11:Z11"/>
    <mergeCell ref="AA4:AB4"/>
    <mergeCell ref="AA13:AB13"/>
    <mergeCell ref="O14:Z14"/>
    <mergeCell ref="AA14:AB14"/>
    <mergeCell ref="J48:L49"/>
    <mergeCell ref="C49:D49"/>
    <mergeCell ref="E49:F49"/>
    <mergeCell ref="G49:I49"/>
    <mergeCell ref="H48:I48"/>
    <mergeCell ref="B47:C47"/>
  </mergeCells>
  <conditionalFormatting sqref="A4:A46">
    <cfRule type="expression" dxfId="1354" priority="22">
      <formula>ISERROR(J4)</formula>
    </cfRule>
    <cfRule type="cellIs" dxfId="1353" priority="23" operator="equal">
      <formula>""</formula>
    </cfRule>
  </conditionalFormatting>
  <conditionalFormatting sqref="A47:C47">
    <cfRule type="expression" dxfId="1352" priority="7">
      <formula>$A$48&lt;&gt;0</formula>
    </cfRule>
  </conditionalFormatting>
  <conditionalFormatting sqref="B2">
    <cfRule type="expression" dxfId="1351" priority="49" stopIfTrue="1">
      <formula>$B$48="x"</formula>
    </cfRule>
  </conditionalFormatting>
  <conditionalFormatting sqref="B4:B46">
    <cfRule type="cellIs" dxfId="1348" priority="36" operator="equal">
      <formula>""</formula>
    </cfRule>
  </conditionalFormatting>
  <conditionalFormatting sqref="B48">
    <cfRule type="cellIs" dxfId="1347" priority="72" operator="equal">
      <formula>"y"</formula>
    </cfRule>
  </conditionalFormatting>
  <conditionalFormatting sqref="B3:J3">
    <cfRule type="expression" dxfId="1346" priority="10847">
      <formula>$B$48="x"</formula>
    </cfRule>
  </conditionalFormatting>
  <conditionalFormatting sqref="B4:J46">
    <cfRule type="expression" dxfId="1345" priority="32">
      <formula>$B$1="x"</formula>
    </cfRule>
  </conditionalFormatting>
  <conditionalFormatting sqref="B3:L3">
    <cfRule type="expression" dxfId="1344" priority="66">
      <formula>$B$48="x"</formula>
    </cfRule>
  </conditionalFormatting>
  <conditionalFormatting sqref="C4:D46">
    <cfRule type="expression" dxfId="1343" priority="39">
      <formula>AND($B4&lt;&gt;"",$C4="")</formula>
    </cfRule>
  </conditionalFormatting>
  <conditionalFormatting sqref="C49:I49">
    <cfRule type="cellIs" dxfId="1342" priority="71" stopIfTrue="1" operator="lessThan">
      <formula>0</formula>
    </cfRule>
    <cfRule type="cellIs" dxfId="1341" priority="69" stopIfTrue="1" operator="greaterThanOrEqual">
      <formula>0</formula>
    </cfRule>
  </conditionalFormatting>
  <conditionalFormatting sqref="D47:J47">
    <cfRule type="expression" dxfId="1340" priority="9">
      <formula>$A$48&lt;&gt;0</formula>
    </cfRule>
  </conditionalFormatting>
  <conditionalFormatting sqref="H4:H46">
    <cfRule type="expression" dxfId="1339" priority="35">
      <formula>AND(G4&lt;&gt;"",H4="",$I$1&lt;&gt;"x")</formula>
    </cfRule>
  </conditionalFormatting>
  <conditionalFormatting sqref="H4:I46">
    <cfRule type="expression" dxfId="1338" priority="33">
      <formula>AND($I4&lt;&gt;0,$I$1&lt;&gt;"ü")</formula>
    </cfRule>
    <cfRule type="expression" dxfId="1337" priority="34">
      <formula>$I$1&lt;&gt;"ü"</formula>
    </cfRule>
  </conditionalFormatting>
  <conditionalFormatting sqref="J48:L48 C49:L49 C48:H48">
    <cfRule type="expression" dxfId="1335" priority="68">
      <formula>$B$48="x"</formula>
    </cfRule>
  </conditionalFormatting>
  <conditionalFormatting sqref="J48:L49">
    <cfRule type="expression" dxfId="1334" priority="67">
      <formula>AND($B$48="x",$J$48&lt;&gt;0)</formula>
    </cfRule>
  </conditionalFormatting>
  <conditionalFormatting sqref="K4:L46">
    <cfRule type="expression" dxfId="1333" priority="17507">
      <formula>$B$48="x"</formula>
    </cfRule>
  </conditionalFormatting>
  <conditionalFormatting sqref="M3">
    <cfRule type="cellIs" dxfId="1332" priority="31" operator="equal">
      <formula>""</formula>
    </cfRule>
  </conditionalFormatting>
  <conditionalFormatting sqref="M4:M46">
    <cfRule type="expression" dxfId="1331" priority="29">
      <formula>ISERROR(J4)</formula>
    </cfRule>
    <cfRule type="cellIs" dxfId="1330" priority="30" operator="equal">
      <formula>""</formula>
    </cfRule>
  </conditionalFormatting>
  <conditionalFormatting sqref="M47">
    <cfRule type="expression" dxfId="1329" priority="8">
      <formula>$A$48&lt;&gt;0</formula>
    </cfRule>
  </conditionalFormatting>
  <conditionalFormatting sqref="M47:M49">
    <cfRule type="cellIs" dxfId="1328" priority="11" operator="equal">
      <formula>""</formula>
    </cfRule>
  </conditionalFormatting>
  <conditionalFormatting sqref="N10:AB10">
    <cfRule type="expression" dxfId="1327" priority="6">
      <formula>$N$2=0</formula>
    </cfRule>
  </conditionalFormatting>
  <conditionalFormatting sqref="O11:Z11">
    <cfRule type="cellIs" dxfId="1326" priority="53" operator="equal">
      <formula>"Fehler!"</formula>
    </cfRule>
  </conditionalFormatting>
  <conditionalFormatting sqref="O4:AA4">
    <cfRule type="expression" dxfId="1322" priority="48">
      <formula>$N$2=0</formula>
    </cfRule>
  </conditionalFormatting>
  <conditionalFormatting sqref="O2:AB3">
    <cfRule type="expression" dxfId="1320" priority="1">
      <formula>$N$2=0</formula>
    </cfRule>
  </conditionalFormatting>
  <conditionalFormatting sqref="O5:AB8 O9:AA9">
    <cfRule type="expression" dxfId="1319" priority="52">
      <formula>$N$2=0</formula>
    </cfRule>
  </conditionalFormatting>
  <conditionalFormatting sqref="O11:AB14">
    <cfRule type="expression" dxfId="1318" priority="3">
      <formula>$N$2=0</formula>
    </cfRule>
  </conditionalFormatting>
  <conditionalFormatting sqref="O47:AB49">
    <cfRule type="expression" dxfId="1317" priority="10">
      <formula>$N$2=0</formula>
    </cfRule>
  </conditionalFormatting>
  <dataValidations count="2">
    <dataValidation type="list" allowBlank="1" showInputMessage="1" showErrorMessage="1" sqref="F4:F46" xr:uid="{3C1F082E-AC45-4DBF-BB1C-A5A1360286D5}">
      <formula1>"Konto,Geldbeutel,Kreditkarte,x"</formula1>
    </dataValidation>
    <dataValidation type="list" allowBlank="1" showInputMessage="1" showErrorMessage="1" sqref="H4:H46" xr:uid="{BBEDD9B9-969D-48B2-BC35-160057911EAA}">
      <formula1>"19,7,0,~"</formula1>
    </dataValidation>
  </dataValidations>
  <hyperlinks>
    <hyperlink ref="J2" location="'2022 EÜR'!A1" display="Menü" xr:uid="{22179748-DE5B-46BA-B80C-B60C69A656C7}"/>
    <hyperlink ref="J2:L2" location="EÜR!A1" display="EÜR" xr:uid="{DC03991C-4AAF-426C-9F23-05107A445872}"/>
  </hyperlinks>
  <printOptions horizontalCentered="1"/>
  <pageMargins left="0" right="0" top="0" bottom="0.31496062992125984" header="0" footer="0"/>
  <pageSetup paperSize="9" orientation="portrait" r:id="rId1"/>
  <headerFooter>
    <oddFooter>&amp;L&amp;"Arial,Standard"&amp;8Datei: &amp;Z&amp;F/&amp;A&amp;C&amp;"Arial,Standard"&amp;8Seite &amp;P von &amp;N&amp;R&amp;"Arial,Standard"&amp;8Druck: &amp;D&amp;T Uhr</oddFooter>
  </headerFooter>
  <extLst>
    <ext xmlns:x14="http://schemas.microsoft.com/office/spreadsheetml/2009/9/main" uri="{78C0D931-6437-407d-A8EE-F0AAD7539E65}">
      <x14:conditionalFormattings>
        <x14:conditionalFormatting xmlns:xm="http://schemas.microsoft.com/office/excel/2006/main">
          <x14:cfRule type="cellIs" priority="37" operator="greaterThan" id="{E2D63598-3973-460D-87E2-E02F75834416}">
            <xm:f>EÜR!$I$78</xm:f>
            <x14:dxf>
              <font>
                <b/>
                <i val="0"/>
                <color rgb="FFFFFF00"/>
              </font>
              <fill>
                <patternFill>
                  <bgColor rgb="FFC00000"/>
                </patternFill>
              </fill>
            </x14:dxf>
          </x14:cfRule>
          <x14:cfRule type="cellIs" priority="38" operator="lessThan" id="{E7B01742-F3C3-40BB-8E7E-970AFA0A2C39}">
            <xm:f>EÜR!$I$77</xm:f>
            <x14:dxf>
              <font>
                <b/>
                <i val="0"/>
                <color rgb="FFFFFF00"/>
              </font>
              <fill>
                <patternFill>
                  <bgColor rgb="FFC00000"/>
                </patternFill>
              </fill>
            </x14:dxf>
          </x14:cfRule>
          <xm:sqref>B4:B46</xm:sqref>
        </x14:conditionalFormatting>
        <x14:conditionalFormatting xmlns:xm="http://schemas.microsoft.com/office/excel/2006/main">
          <x14:cfRule type="expression" priority="50" id="{66E71208-65ED-459D-89E6-A657A467DD5D}">
            <xm:f>AND(EÜR!$J$66&lt;&gt;"ü",$H$48&lt;&gt;0)</xm:f>
            <x14:dxf>
              <font>
                <b/>
                <i val="0"/>
                <color rgb="FFFFFF00"/>
              </font>
              <fill>
                <patternFill>
                  <bgColor rgb="FFFF0000"/>
                </patternFill>
              </fill>
            </x14:dxf>
          </x14:cfRule>
          <xm:sqref>H48:I48</xm:sqref>
        </x14:conditionalFormatting>
        <x14:conditionalFormatting xmlns:xm="http://schemas.microsoft.com/office/excel/2006/main">
          <x14:cfRule type="expression" priority="54" id="{3D1F533B-8D8D-43C2-A47A-D0007FED4959}">
            <xm:f>AND(O13&lt;&gt;0,U!L36="!",U!L37="!")</xm:f>
            <x14:dxf>
              <font>
                <b/>
                <i val="0"/>
                <color rgb="FFFF0000"/>
              </font>
              <fill>
                <patternFill>
                  <bgColor rgb="FFFFCCCC"/>
                </patternFill>
              </fill>
            </x14:dxf>
          </x14:cfRule>
          <x14:cfRule type="expression" priority="55" id="{EDB920DA-9194-4CAC-9323-9E2B00DEC156}">
            <xm:f>U!L37&lt;&gt;"!"</xm:f>
            <x14:dxf>
              <font>
                <b/>
                <i val="0"/>
                <color rgb="FF006666"/>
              </font>
              <fill>
                <patternFill>
                  <bgColor theme="6" tint="0.39994506668294322"/>
                </patternFill>
              </fill>
            </x14:dxf>
          </x14:cfRule>
          <x14:cfRule type="expression" priority="56" id="{739438E8-4F0C-447C-84C7-F9EA5C364BF9}">
            <xm:f>U!L36&lt;&gt;"!"</xm:f>
            <x14:dxf>
              <font>
                <b/>
                <i val="0"/>
                <color theme="9" tint="-0.499984740745262"/>
              </font>
              <fill>
                <patternFill>
                  <bgColor rgb="FFFFFF99"/>
                </patternFill>
              </fill>
            </x14:dxf>
          </x14:cfRule>
          <xm:sqref>O13:Z13</xm:sqref>
        </x14:conditionalFormatting>
        <x14:conditionalFormatting xmlns:xm="http://schemas.microsoft.com/office/excel/2006/main">
          <x14:cfRule type="expression" priority="2" id="{428A8E09-26BA-44DA-A4C7-3DBD7E46BA1A}">
            <xm:f>EÜR!$J$66="-"</xm:f>
            <x14:dxf>
              <font>
                <b/>
                <i val="0"/>
                <color theme="0"/>
              </font>
              <fill>
                <patternFill>
                  <bgColor theme="0"/>
                </patternFill>
              </fill>
              <border>
                <left/>
                <right/>
                <top/>
                <bottom/>
              </border>
            </x14:dxf>
          </x14:cfRule>
          <xm:sqref>O12:AA14</xm:sqref>
        </x14:conditionalFormatting>
      </x14:conditionalFormatting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B6023F-4E90-4964-A4FB-F8E8571FC5BA}">
  <sheetPr codeName="Tabelle11">
    <tabColor theme="9" tint="0.39997558519241921"/>
    <pageSetUpPr autoPageBreaks="0"/>
  </sheetPr>
  <dimension ref="A1:AB51"/>
  <sheetViews>
    <sheetView showGridLines="0" showRowColHeaders="0" zoomScaleNormal="100" workbookViewId="0">
      <pane ySplit="3" topLeftCell="A4" activePane="bottomLeft" state="frozen"/>
      <selection activeCell="F4" sqref="F4:F46"/>
      <selection pane="bottomLeft" activeCell="A4" sqref="A4"/>
    </sheetView>
  </sheetViews>
  <sheetFormatPr baseColWidth="10" defaultColWidth="9.77734375" defaultRowHeight="12.75"/>
  <cols>
    <col min="1" max="1" width="0.77734375" style="12" customWidth="1"/>
    <col min="2" max="2" width="7.6640625" style="30" customWidth="1"/>
    <col min="3" max="3" width="21.6640625" style="24" customWidth="1"/>
    <col min="4" max="4" width="7.6640625" style="24" customWidth="1"/>
    <col min="5" max="5" width="6.6640625" style="25" customWidth="1"/>
    <col min="6" max="6" width="9.6640625" style="26" customWidth="1"/>
    <col min="7" max="7" width="9.6640625" style="27" customWidth="1"/>
    <col min="8" max="8" width="2.6640625" style="28" customWidth="1"/>
    <col min="9" max="9" width="6.6640625" style="29" customWidth="1"/>
    <col min="10" max="10" width="9.6640625" style="27" customWidth="1"/>
    <col min="11" max="11" width="2.5546875" style="27" hidden="1" customWidth="1"/>
    <col min="12" max="12" width="1.5546875" style="32" hidden="1" customWidth="1"/>
    <col min="13" max="13" width="0.77734375" style="13" customWidth="1"/>
    <col min="14" max="14" width="1.77734375" style="147" customWidth="1"/>
    <col min="15" max="26" width="8.77734375" style="13" customWidth="1"/>
    <col min="27" max="27" width="10.33203125" style="13" customWidth="1"/>
    <col min="28" max="28" width="8.33203125" style="13" customWidth="1"/>
    <col min="29" max="16384" width="9.77734375" style="13"/>
  </cols>
  <sheetData>
    <row r="1" spans="1:28" s="37" customFormat="1" ht="3" customHeight="1" thickBot="1">
      <c r="A1" s="36"/>
      <c r="B1" s="53" t="str">
        <f>+B48</f>
        <v>ü</v>
      </c>
      <c r="C1" s="54">
        <f>+C49</f>
        <v>0</v>
      </c>
      <c r="D1" s="54"/>
      <c r="E1" s="53">
        <f>+E49</f>
        <v>0</v>
      </c>
      <c r="F1" s="53"/>
      <c r="G1" s="54">
        <f>+G49</f>
        <v>0</v>
      </c>
      <c r="H1" s="53"/>
      <c r="I1" s="338" t="s">
        <v>168</v>
      </c>
      <c r="J1" s="54">
        <f>+J48</f>
        <v>0</v>
      </c>
      <c r="K1" s="198"/>
      <c r="L1" s="56"/>
      <c r="N1" s="190"/>
    </row>
    <row r="2" spans="1:28" ht="23.1" customHeight="1" thickTop="1" thickBot="1">
      <c r="A2" s="36"/>
      <c r="B2" s="296" t="str">
        <f>+EÜR!D24</f>
        <v>A03</v>
      </c>
      <c r="C2" s="1290" t="str">
        <f>+EÜR!F24</f>
        <v>Ausgaben für eigenes Personal</v>
      </c>
      <c r="D2" s="1291"/>
      <c r="E2" s="1291"/>
      <c r="F2" s="1291"/>
      <c r="G2" s="1291"/>
      <c r="H2" s="1291"/>
      <c r="I2" s="1292"/>
      <c r="J2" s="1227" t="s">
        <v>8</v>
      </c>
      <c r="K2" s="1228"/>
      <c r="L2" s="1229"/>
      <c r="M2" s="134"/>
      <c r="N2" s="190">
        <f>IF(OR(B48="x",N3=1),0,1)</f>
        <v>1</v>
      </c>
      <c r="O2" s="188">
        <f>+EOMONTH(EÜR!$I$3,-1)+1</f>
        <v>46023</v>
      </c>
      <c r="P2" s="188">
        <f t="shared" ref="P2:Z2" si="0">+O3+1</f>
        <v>46054</v>
      </c>
      <c r="Q2" s="188">
        <f t="shared" si="0"/>
        <v>46082</v>
      </c>
      <c r="R2" s="188">
        <f t="shared" si="0"/>
        <v>46113</v>
      </c>
      <c r="S2" s="188">
        <f t="shared" si="0"/>
        <v>46143</v>
      </c>
      <c r="T2" s="188">
        <f t="shared" si="0"/>
        <v>46174</v>
      </c>
      <c r="U2" s="188">
        <f t="shared" si="0"/>
        <v>46204</v>
      </c>
      <c r="V2" s="188">
        <f t="shared" si="0"/>
        <v>46235</v>
      </c>
      <c r="W2" s="188">
        <f t="shared" si="0"/>
        <v>46266</v>
      </c>
      <c r="X2" s="188">
        <f t="shared" si="0"/>
        <v>46296</v>
      </c>
      <c r="Y2" s="188">
        <f t="shared" si="0"/>
        <v>46327</v>
      </c>
      <c r="Z2" s="188">
        <f t="shared" si="0"/>
        <v>46357</v>
      </c>
      <c r="AA2" s="48"/>
    </row>
    <row r="3" spans="1:28" ht="14.25" customHeight="1" thickTop="1">
      <c r="A3" s="36" t="s">
        <v>5</v>
      </c>
      <c r="B3" s="58" t="s">
        <v>1</v>
      </c>
      <c r="C3" s="59" t="s">
        <v>6</v>
      </c>
      <c r="D3" s="60"/>
      <c r="E3" s="310" t="s">
        <v>7</v>
      </c>
      <c r="F3" s="61" t="s">
        <v>4</v>
      </c>
      <c r="G3" s="62" t="s">
        <v>31</v>
      </c>
      <c r="H3" s="63" t="s">
        <v>33</v>
      </c>
      <c r="I3" s="64" t="s">
        <v>32</v>
      </c>
      <c r="J3" s="275" t="s">
        <v>34</v>
      </c>
      <c r="K3" s="199">
        <v>0</v>
      </c>
      <c r="L3" s="65" t="s">
        <v>5</v>
      </c>
      <c r="M3" s="135" t="s">
        <v>5</v>
      </c>
      <c r="N3" s="222">
        <f>IF(SUBTOTAL(109,K3:K47)&lt;&gt;SUM(K3:K47),1,0)</f>
        <v>0</v>
      </c>
      <c r="O3" s="189">
        <f>EOMONTH(O2,0)</f>
        <v>46053</v>
      </c>
      <c r="P3" s="189">
        <f t="shared" ref="P3:Z3" si="1">EOMONTH(P2,0)</f>
        <v>46081</v>
      </c>
      <c r="Q3" s="189">
        <f t="shared" si="1"/>
        <v>46112</v>
      </c>
      <c r="R3" s="189">
        <f t="shared" si="1"/>
        <v>46142</v>
      </c>
      <c r="S3" s="189">
        <f t="shared" si="1"/>
        <v>46173</v>
      </c>
      <c r="T3" s="189">
        <f t="shared" si="1"/>
        <v>46203</v>
      </c>
      <c r="U3" s="189">
        <f t="shared" si="1"/>
        <v>46234</v>
      </c>
      <c r="V3" s="189">
        <f t="shared" si="1"/>
        <v>46265</v>
      </c>
      <c r="W3" s="189">
        <f t="shared" si="1"/>
        <v>46295</v>
      </c>
      <c r="X3" s="189">
        <f t="shared" si="1"/>
        <v>46326</v>
      </c>
      <c r="Y3" s="189">
        <f t="shared" si="1"/>
        <v>46356</v>
      </c>
      <c r="Z3" s="189">
        <f t="shared" si="1"/>
        <v>46387</v>
      </c>
      <c r="AB3" s="14"/>
    </row>
    <row r="4" spans="1:28" ht="13.35" customHeight="1">
      <c r="A4" s="50" t="s">
        <v>5</v>
      </c>
      <c r="B4" s="141"/>
      <c r="C4" s="80"/>
      <c r="D4" s="93"/>
      <c r="E4" s="226"/>
      <c r="F4" s="89"/>
      <c r="G4" s="81"/>
      <c r="H4" s="82"/>
      <c r="I4" s="83" t="str">
        <f t="shared" ref="I4:I44" si="2">IF(G4&lt;&gt;"",+G4-G4/(1+H4/100),"")</f>
        <v/>
      </c>
      <c r="J4" s="361" t="str">
        <f t="shared" ref="J4:J44" si="3">IF(G4&lt;&gt;0,+G4-I4,"")</f>
        <v/>
      </c>
      <c r="K4" s="200">
        <v>1</v>
      </c>
      <c r="L4" s="133">
        <f>IF(B4&lt;$O$2,0,IF(B4&lt;$P$2,1,IF(B4&lt;$Q$2,2,IF(B4&lt;$R$2,3,IF(B4&lt;$S$2,4,IF(B4&lt;$T$2,5,IF(B4&lt;$U$2,6,IF(B4&lt;$V$2,7,IF(B4&lt;$W$2,8,IF(B4&lt;$X$2,9,IF(B4&lt;$Y$2,10,IF(B4&lt;$Z$2,11,IF(B4&lt;=$Z$3,12,0)))))))))))))</f>
        <v>0</v>
      </c>
      <c r="M4" s="135" t="s">
        <v>5</v>
      </c>
      <c r="N4" s="190">
        <f>+N10+AA12+AA16</f>
        <v>0</v>
      </c>
      <c r="O4" s="251" t="s">
        <v>36</v>
      </c>
      <c r="P4" s="251" t="s">
        <v>37</v>
      </c>
      <c r="Q4" s="251" t="s">
        <v>38</v>
      </c>
      <c r="R4" s="251" t="s">
        <v>39</v>
      </c>
      <c r="S4" s="251" t="s">
        <v>40</v>
      </c>
      <c r="T4" s="251" t="s">
        <v>41</v>
      </c>
      <c r="U4" s="251" t="s">
        <v>42</v>
      </c>
      <c r="V4" s="251" t="s">
        <v>43</v>
      </c>
      <c r="W4" s="251" t="s">
        <v>44</v>
      </c>
      <c r="X4" s="251" t="s">
        <v>45</v>
      </c>
      <c r="Y4" s="251" t="s">
        <v>46</v>
      </c>
      <c r="Z4" s="251" t="s">
        <v>47</v>
      </c>
      <c r="AA4" s="1209" t="s">
        <v>255</v>
      </c>
      <c r="AB4" s="1210"/>
    </row>
    <row r="5" spans="1:28" ht="13.35" customHeight="1">
      <c r="A5" s="50" t="s">
        <v>5</v>
      </c>
      <c r="B5" s="141"/>
      <c r="C5" s="80"/>
      <c r="D5" s="93"/>
      <c r="E5" s="226"/>
      <c r="F5" s="89"/>
      <c r="G5" s="81"/>
      <c r="H5" s="82"/>
      <c r="I5" s="83" t="str">
        <f t="shared" si="2"/>
        <v/>
      </c>
      <c r="J5" s="361" t="str">
        <f t="shared" si="3"/>
        <v/>
      </c>
      <c r="K5" s="200">
        <v>2</v>
      </c>
      <c r="L5" s="133">
        <f t="shared" ref="L5:L44" si="4">IF(B5&lt;$O$2,0,IF(B5&lt;$P$2,1,IF(B5&lt;$Q$2,2,IF(B5&lt;$R$2,3,IF(B5&lt;$S$2,4,IF(B5&lt;$T$2,5,IF(B5&lt;$U$2,6,IF(B5&lt;$V$2,7,IF(B5&lt;$W$2,8,IF(B5&lt;$X$2,9,IF(B5&lt;$Y$2,10,IF(B5&lt;$Z$2,11,IF(B5&lt;=$Z$3,12,0)))))))))))))</f>
        <v>0</v>
      </c>
      <c r="M5" s="135" t="s">
        <v>5</v>
      </c>
      <c r="O5" s="252">
        <f>SUMIFS($G$3:$G$47,$L$3:$L$47,1,$F$3:$F$47,"Konto")</f>
        <v>0</v>
      </c>
      <c r="P5" s="252">
        <f>SUMIFS($G$3:$G$47,$L$3:$L$47,2,$F$3:$F$47,"Konto")</f>
        <v>0</v>
      </c>
      <c r="Q5" s="252">
        <f>SUMIFS($G$3:$G$47,$L$3:$L$47,3,$F$3:$F$47,"Konto")</f>
        <v>0</v>
      </c>
      <c r="R5" s="252">
        <f>SUMIFS($G$3:$G$47,$L$3:$L$47,4,$F$3:$F$47,"Konto")</f>
        <v>0</v>
      </c>
      <c r="S5" s="252">
        <f>SUMIFS($G$3:$G$47,$L$3:$L$47,5,$F$3:$F$47,"Konto")</f>
        <v>0</v>
      </c>
      <c r="T5" s="252">
        <f>SUMIFS($G$3:$G$47,$L$3:$L$47,6,$F$3:$F$47,"Konto")</f>
        <v>0</v>
      </c>
      <c r="U5" s="252">
        <f>SUMIFS($G$3:$G$47,$L$3:$L$47,7,$F$3:$F$47,"Konto")</f>
        <v>0</v>
      </c>
      <c r="V5" s="252">
        <f>SUMIFS($G$3:$G$47,$L$3:$L$47,8,$F$3:$F$47,"Konto")</f>
        <v>0</v>
      </c>
      <c r="W5" s="252">
        <f>SUMIFS($G$3:$G$47,$L$3:$L$47,9,$F$3:$F$47,"Konto")</f>
        <v>0</v>
      </c>
      <c r="X5" s="252">
        <f>SUMIFS($G$3:$G$47,$L$3:$L$47,10,$F$3:$F$47,"Konto")</f>
        <v>0</v>
      </c>
      <c r="Y5" s="252">
        <f>SUMIFS($G$3:$G$47,$L$3:$L$47,11,$F$3:$F$47,"Konto")</f>
        <v>0</v>
      </c>
      <c r="Z5" s="252">
        <f>SUMIFS($G$3:$G$47,$L$3:$L$47,12,$F$3:$F$47,"Konto")</f>
        <v>0</v>
      </c>
      <c r="AA5" s="253">
        <f>SUM(O5:Z5)</f>
        <v>0</v>
      </c>
      <c r="AB5" s="254" t="s">
        <v>140</v>
      </c>
    </row>
    <row r="6" spans="1:28" ht="13.35" customHeight="1">
      <c r="A6" s="50" t="s">
        <v>5</v>
      </c>
      <c r="B6" s="141"/>
      <c r="C6" s="80"/>
      <c r="D6" s="93"/>
      <c r="E6" s="226"/>
      <c r="F6" s="89"/>
      <c r="G6" s="81"/>
      <c r="H6" s="82"/>
      <c r="I6" s="83" t="str">
        <f t="shared" si="2"/>
        <v/>
      </c>
      <c r="J6" s="361" t="str">
        <f t="shared" si="3"/>
        <v/>
      </c>
      <c r="K6" s="200">
        <v>3</v>
      </c>
      <c r="L6" s="133">
        <f t="shared" si="4"/>
        <v>0</v>
      </c>
      <c r="M6" s="135" t="s">
        <v>5</v>
      </c>
      <c r="N6" s="190"/>
      <c r="O6" s="252">
        <f>SUMIFS($G$3:$G$47,$L$3:$L$47,1,$F$3:$F$47,"Kreditkarte")</f>
        <v>0</v>
      </c>
      <c r="P6" s="252">
        <f>SUMIFS($G$3:$G$47,$L$3:$L$47,2,$F$3:$F$47,"Kreditkarte")</f>
        <v>0</v>
      </c>
      <c r="Q6" s="252">
        <f>SUMIFS($G$3:$G$47,$L$3:$L$47,3,$F$3:$F$47,"Kreditkarte")</f>
        <v>0</v>
      </c>
      <c r="R6" s="252">
        <f>SUMIFS($G$3:$G$47,$L$3:$L$47,4,$F$3:$F$47,"Kreditkarte")</f>
        <v>0</v>
      </c>
      <c r="S6" s="252">
        <f>SUMIFS($G$3:$G$47,$L$3:$L$47,5,$F$3:$F$47,"Kreditkarte")</f>
        <v>0</v>
      </c>
      <c r="T6" s="252">
        <f>SUMIFS($G$3:$G$47,$L$3:$L$47,6,$F$3:$F$47,"Kreditkarte")</f>
        <v>0</v>
      </c>
      <c r="U6" s="252">
        <f>SUMIFS($G$3:$G$47,$L$3:$L$47,7,$F$3:$F$47,"Kreditkarte")</f>
        <v>0</v>
      </c>
      <c r="V6" s="252">
        <f>SUMIFS($G$3:$G$47,$L$3:$L$47,8,$F$3:$F$47,"Kreditkarte")</f>
        <v>0</v>
      </c>
      <c r="W6" s="252">
        <f>SUMIFS($G$3:$G$47,$L$3:$L$47,9,$F$3:$F$47,"Kreditkarte")</f>
        <v>0</v>
      </c>
      <c r="X6" s="252">
        <f>SUMIFS($G$3:$G$47,$L$3:$L$47,10,$F$3:$F$47,"Kreditkarte")</f>
        <v>0</v>
      </c>
      <c r="Y6" s="252">
        <f>SUMIFS($G$3:$G$47,$L$3:$L$47,11,$F$3:$F$47,"Kreditkarte")</f>
        <v>0</v>
      </c>
      <c r="Z6" s="252">
        <f>SUMIFS($G$3:$G$47,$L$3:$L$47,12,$F$3:$F$47,"Kreditkarte")</f>
        <v>0</v>
      </c>
      <c r="AA6" s="255">
        <f t="shared" ref="AA6:AA8" si="5">SUM(O6:Z6)</f>
        <v>0</v>
      </c>
      <c r="AB6" s="256" t="s">
        <v>142</v>
      </c>
    </row>
    <row r="7" spans="1:28" ht="13.35" customHeight="1">
      <c r="A7" s="50" t="s">
        <v>5</v>
      </c>
      <c r="B7" s="141"/>
      <c r="C7" s="80"/>
      <c r="D7" s="93"/>
      <c r="E7" s="226"/>
      <c r="F7" s="89"/>
      <c r="G7" s="81"/>
      <c r="H7" s="82"/>
      <c r="I7" s="83" t="str">
        <f t="shared" si="2"/>
        <v/>
      </c>
      <c r="J7" s="361" t="str">
        <f t="shared" si="3"/>
        <v/>
      </c>
      <c r="K7" s="200">
        <v>4</v>
      </c>
      <c r="L7" s="133">
        <f t="shared" si="4"/>
        <v>0</v>
      </c>
      <c r="M7" s="135" t="s">
        <v>5</v>
      </c>
      <c r="O7" s="252">
        <f>SUMIFS($G$3:$G$47,$L$3:$L$47,1,$F$3:$F$47,"Geldbeutel")</f>
        <v>0</v>
      </c>
      <c r="P7" s="252">
        <f>SUMIFS($G$3:$G$47,$L$3:$L$47,2,$F$3:$F$47,"Geldbeutel")</f>
        <v>0</v>
      </c>
      <c r="Q7" s="252">
        <f>SUMIFS($G$3:$G$47,$L$3:$L$47,3,$F$3:$F$47,"Geldbeutel")</f>
        <v>0</v>
      </c>
      <c r="R7" s="252">
        <f>SUMIFS($G$3:$G$47,$L$3:$L$47,4,$F$3:$F$47,"Geldbeutel")</f>
        <v>0</v>
      </c>
      <c r="S7" s="252">
        <f>SUMIFS($G$3:$G$47,$L$3:$L$47,5,$F$3:$F$47,"Geldbeutel")</f>
        <v>0</v>
      </c>
      <c r="T7" s="252">
        <f>SUMIFS($G$3:$G$47,$L$3:$L$47,6,$F$3:$F$47,"Geldbeutel")</f>
        <v>0</v>
      </c>
      <c r="U7" s="252">
        <f>SUMIFS($G$3:$G$47,$L$3:$L$47,7,$F$3:$F$47,"Geldbeutel")</f>
        <v>0</v>
      </c>
      <c r="V7" s="252">
        <f>SUMIFS($G$3:$G$47,$L$3:$L$47,8,$F$3:$F$47,"Geldbeutel")</f>
        <v>0</v>
      </c>
      <c r="W7" s="252">
        <f>SUMIFS($G$3:$G$47,$L$3:$L$47,9,$F$3:$F$47,"Geldbeutel")</f>
        <v>0</v>
      </c>
      <c r="X7" s="252">
        <f>SUMIFS($G$3:$G$47,$L$3:$L$47,10,$F$3:$F$47,"Geldbeutel")</f>
        <v>0</v>
      </c>
      <c r="Y7" s="252">
        <f>SUMIFS($G$3:$G$47,$L$3:$L$47,11,$F$3:$F$47,"Geldbeutel")</f>
        <v>0</v>
      </c>
      <c r="Z7" s="252">
        <f>SUMIFS($G$3:$G$47,$L$3:$L$47,12,$F$3:$F$47,"Geldbeutel")</f>
        <v>0</v>
      </c>
      <c r="AA7" s="253">
        <f t="shared" si="5"/>
        <v>0</v>
      </c>
      <c r="AB7" s="254" t="s">
        <v>139</v>
      </c>
    </row>
    <row r="8" spans="1:28" ht="13.35" customHeight="1">
      <c r="A8" s="50" t="s">
        <v>5</v>
      </c>
      <c r="B8" s="141"/>
      <c r="C8" s="80"/>
      <c r="D8" s="93"/>
      <c r="E8" s="226"/>
      <c r="F8" s="89"/>
      <c r="G8" s="81"/>
      <c r="H8" s="82"/>
      <c r="I8" s="83" t="str">
        <f t="shared" si="2"/>
        <v/>
      </c>
      <c r="J8" s="361" t="str">
        <f t="shared" si="3"/>
        <v/>
      </c>
      <c r="K8" s="200">
        <v>5</v>
      </c>
      <c r="L8" s="133">
        <f t="shared" si="4"/>
        <v>0</v>
      </c>
      <c r="M8" s="135" t="s">
        <v>5</v>
      </c>
      <c r="O8" s="252">
        <f>SUMIFS($G$3:$G$47,$L$3:$L$47,1,$F$3:$F$47,"X")</f>
        <v>0</v>
      </c>
      <c r="P8" s="252">
        <f>SUMIFS($G$3:$G$47,$L$3:$L$47,2,$F$3:$F$47,"X")</f>
        <v>0</v>
      </c>
      <c r="Q8" s="252">
        <f>SUMIFS($G$3:$G$47,$L$3:$L$47,3,$F$3:$F$47,"X")</f>
        <v>0</v>
      </c>
      <c r="R8" s="252">
        <f>SUMIFS($G$3:$G$47,$L$3:$L$47,4,$F$3:$F$47,"X")</f>
        <v>0</v>
      </c>
      <c r="S8" s="252">
        <f>SUMIFS($G$3:$G$47,$L$3:$L$47,5,$F$3:$F$47,"X")</f>
        <v>0</v>
      </c>
      <c r="T8" s="252">
        <f>SUMIFS($G$3:$G$47,$L$3:$L$47,6,$F$3:$F$47,"X")</f>
        <v>0</v>
      </c>
      <c r="U8" s="252">
        <f>SUMIFS($G$3:$G$47,$L$3:$L$47,7,$F$3:$F$47,"X")</f>
        <v>0</v>
      </c>
      <c r="V8" s="252">
        <f>SUMIFS($G$3:$G$47,$L$3:$L$47,8,$F$3:$F$47,"X")</f>
        <v>0</v>
      </c>
      <c r="W8" s="252">
        <f>SUMIFS($G$3:$G$47,$L$3:$L$47,9,$F$3:$F$47,"X")</f>
        <v>0</v>
      </c>
      <c r="X8" s="252">
        <f>SUMIFS($G$3:$G$47,$L$3:$L$47,10,$F$3:$F$47,"X")</f>
        <v>0</v>
      </c>
      <c r="Y8" s="252">
        <f>SUMIFS($G$3:$G$47,$L$3:$L$47,11,$F$3:$F$47,"X")</f>
        <v>0</v>
      </c>
      <c r="Z8" s="252">
        <f>SUMIFS($G$3:$G$47,$L$3:$L$47,12,$F$3:$F$47,"X")</f>
        <v>0</v>
      </c>
      <c r="AA8" s="255">
        <f t="shared" si="5"/>
        <v>0</v>
      </c>
      <c r="AB8" s="256" t="s">
        <v>192</v>
      </c>
    </row>
    <row r="9" spans="1:28" ht="13.35" customHeight="1">
      <c r="A9" s="50" t="s">
        <v>5</v>
      </c>
      <c r="B9" s="141"/>
      <c r="C9" s="80"/>
      <c r="D9" s="93"/>
      <c r="E9" s="226"/>
      <c r="F9" s="89"/>
      <c r="G9" s="81"/>
      <c r="H9" s="82"/>
      <c r="I9" s="83" t="str">
        <f t="shared" si="2"/>
        <v/>
      </c>
      <c r="J9" s="361" t="str">
        <f t="shared" si="3"/>
        <v/>
      </c>
      <c r="K9" s="200">
        <v>6</v>
      </c>
      <c r="L9" s="133">
        <f t="shared" si="4"/>
        <v>0</v>
      </c>
      <c r="M9" s="135" t="s">
        <v>5</v>
      </c>
      <c r="N9" s="191">
        <f>IF(OR(AND(AA14&lt;&gt;0,B48="x"),(O14+AA13)&lt;&gt;H48),1,0)</f>
        <v>0</v>
      </c>
      <c r="O9" s="257">
        <f>SUM(O5:O8)</f>
        <v>0</v>
      </c>
      <c r="P9" s="257">
        <f t="shared" ref="P9:Z9" si="6">SUM(P5:P8)</f>
        <v>0</v>
      </c>
      <c r="Q9" s="257">
        <f t="shared" si="6"/>
        <v>0</v>
      </c>
      <c r="R9" s="257">
        <f t="shared" si="6"/>
        <v>0</v>
      </c>
      <c r="S9" s="257">
        <f t="shared" si="6"/>
        <v>0</v>
      </c>
      <c r="T9" s="257">
        <f t="shared" si="6"/>
        <v>0</v>
      </c>
      <c r="U9" s="257">
        <f t="shared" si="6"/>
        <v>0</v>
      </c>
      <c r="V9" s="257">
        <f t="shared" si="6"/>
        <v>0</v>
      </c>
      <c r="W9" s="257">
        <f t="shared" si="6"/>
        <v>0</v>
      </c>
      <c r="X9" s="257">
        <f t="shared" si="6"/>
        <v>0</v>
      </c>
      <c r="Y9" s="257">
        <f t="shared" si="6"/>
        <v>0</v>
      </c>
      <c r="Z9" s="257">
        <f t="shared" si="6"/>
        <v>0</v>
      </c>
      <c r="AA9" s="1211" t="s">
        <v>197</v>
      </c>
      <c r="AB9" s="1212"/>
    </row>
    <row r="10" spans="1:28" ht="13.35" customHeight="1">
      <c r="A10" s="50" t="s">
        <v>5</v>
      </c>
      <c r="B10" s="141"/>
      <c r="C10" s="80"/>
      <c r="D10" s="93"/>
      <c r="E10" s="226"/>
      <c r="F10" s="89"/>
      <c r="G10" s="81"/>
      <c r="H10" s="82"/>
      <c r="I10" s="83" t="str">
        <f t="shared" si="2"/>
        <v/>
      </c>
      <c r="J10" s="361" t="str">
        <f t="shared" si="3"/>
        <v/>
      </c>
      <c r="K10" s="200">
        <v>7</v>
      </c>
      <c r="L10" s="133">
        <f t="shared" si="4"/>
        <v>0</v>
      </c>
      <c r="M10" s="135" t="s">
        <v>5</v>
      </c>
      <c r="N10" s="259">
        <f>IF(O10+AA10&lt;&gt;G48,1,0)</f>
        <v>0</v>
      </c>
      <c r="O10" s="1230">
        <f>SUM(O5:Z8)</f>
        <v>0</v>
      </c>
      <c r="P10" s="1231"/>
      <c r="Q10" s="1231"/>
      <c r="R10" s="1231"/>
      <c r="S10" s="1231"/>
      <c r="T10" s="1231"/>
      <c r="U10" s="1231"/>
      <c r="V10" s="1231"/>
      <c r="W10" s="1231"/>
      <c r="X10" s="1231"/>
      <c r="Y10" s="1231"/>
      <c r="Z10" s="1232"/>
      <c r="AA10" s="292">
        <f>+G48-AA7-AA6-AA5-AA8</f>
        <v>0</v>
      </c>
      <c r="AB10" s="293" t="s">
        <v>205</v>
      </c>
    </row>
    <row r="11" spans="1:28" ht="13.35" customHeight="1">
      <c r="A11" s="50" t="s">
        <v>5</v>
      </c>
      <c r="B11" s="141"/>
      <c r="C11" s="80"/>
      <c r="D11" s="93"/>
      <c r="E11" s="226"/>
      <c r="F11" s="89"/>
      <c r="G11" s="81"/>
      <c r="H11" s="82"/>
      <c r="I11" s="83" t="str">
        <f t="shared" si="2"/>
        <v/>
      </c>
      <c r="J11" s="361" t="str">
        <f t="shared" si="3"/>
        <v/>
      </c>
      <c r="K11" s="200">
        <v>8</v>
      </c>
      <c r="L11" s="133">
        <f t="shared" si="4"/>
        <v>0</v>
      </c>
      <c r="M11" s="135" t="s">
        <v>5</v>
      </c>
      <c r="O11" s="1219" t="str">
        <f>IF(N4&gt;0,"Fehler!","")</f>
        <v/>
      </c>
      <c r="P11" s="1219"/>
      <c r="Q11" s="1219"/>
      <c r="R11" s="1219"/>
      <c r="S11" s="1219"/>
      <c r="T11" s="1219"/>
      <c r="U11" s="1219"/>
      <c r="V11" s="1219"/>
      <c r="W11" s="1219"/>
      <c r="X11" s="1219"/>
      <c r="Y11" s="1219"/>
      <c r="Z11" s="1219"/>
    </row>
    <row r="12" spans="1:28" ht="13.35" customHeight="1">
      <c r="A12" s="50" t="s">
        <v>5</v>
      </c>
      <c r="B12" s="141"/>
      <c r="C12" s="80"/>
      <c r="D12" s="93"/>
      <c r="E12" s="226"/>
      <c r="F12" s="89"/>
      <c r="G12" s="81"/>
      <c r="H12" s="82"/>
      <c r="I12" s="83" t="str">
        <f t="shared" si="2"/>
        <v/>
      </c>
      <c r="J12" s="361" t="str">
        <f t="shared" si="3"/>
        <v/>
      </c>
      <c r="K12" s="200">
        <v>9</v>
      </c>
      <c r="L12" s="133">
        <f t="shared" si="4"/>
        <v>0</v>
      </c>
      <c r="M12" s="135" t="s">
        <v>5</v>
      </c>
      <c r="O12" s="203" t="s">
        <v>36</v>
      </c>
      <c r="P12" s="203" t="s">
        <v>37</v>
      </c>
      <c r="Q12" s="203" t="s">
        <v>38</v>
      </c>
      <c r="R12" s="203" t="s">
        <v>39</v>
      </c>
      <c r="S12" s="203" t="s">
        <v>40</v>
      </c>
      <c r="T12" s="203" t="s">
        <v>41</v>
      </c>
      <c r="U12" s="203" t="s">
        <v>42</v>
      </c>
      <c r="V12" s="203" t="s">
        <v>43</v>
      </c>
      <c r="W12" s="203" t="s">
        <v>44</v>
      </c>
      <c r="X12" s="203" t="s">
        <v>45</v>
      </c>
      <c r="Y12" s="203" t="s">
        <v>46</v>
      </c>
      <c r="Z12" s="203" t="s">
        <v>47</v>
      </c>
      <c r="AA12" s="221">
        <f>IF(O14+AA13&lt;&gt;H48,1,0)</f>
        <v>0</v>
      </c>
    </row>
    <row r="13" spans="1:28" ht="13.35" customHeight="1">
      <c r="A13" s="50" t="s">
        <v>5</v>
      </c>
      <c r="B13" s="141"/>
      <c r="C13" s="80"/>
      <c r="D13" s="93"/>
      <c r="E13" s="226"/>
      <c r="F13" s="89"/>
      <c r="G13" s="81"/>
      <c r="H13" s="82"/>
      <c r="I13" s="83" t="str">
        <f t="shared" si="2"/>
        <v/>
      </c>
      <c r="J13" s="361" t="str">
        <f t="shared" si="3"/>
        <v/>
      </c>
      <c r="K13" s="200">
        <v>10</v>
      </c>
      <c r="L13" s="133">
        <f t="shared" si="4"/>
        <v>0</v>
      </c>
      <c r="M13" s="135" t="s">
        <v>5</v>
      </c>
      <c r="O13" s="187">
        <f>SUMIF($L$3:$L$47,1,$I$3:$I$47)</f>
        <v>0</v>
      </c>
      <c r="P13" s="187">
        <f>SUMIF($L$3:$L$47,2,$I$3:$I$47)</f>
        <v>0</v>
      </c>
      <c r="Q13" s="187">
        <f>SUMIF($L$3:$L$47,3,$I$3:$I$47)</f>
        <v>0</v>
      </c>
      <c r="R13" s="187">
        <f>SUMIF($L$3:$L$47,4,$I$3:$I$47)</f>
        <v>0</v>
      </c>
      <c r="S13" s="187">
        <f>SUMIF($L$3:$L$47,5,$I$3:$I$47)</f>
        <v>0</v>
      </c>
      <c r="T13" s="187">
        <f>SUMIF($L$3:$L$47,6,$I$3:$I$47)</f>
        <v>0</v>
      </c>
      <c r="U13" s="187">
        <f>SUMIF($L$3:$L$47,7,$I$3:$I$47)</f>
        <v>0</v>
      </c>
      <c r="V13" s="187">
        <f>SUMIF($L$3:$L$47,8,$I$3:$I$47)</f>
        <v>0</v>
      </c>
      <c r="W13" s="187">
        <f>SUMIF($L$3:$L$47,9,$I$3:$I$47)</f>
        <v>0</v>
      </c>
      <c r="X13" s="187">
        <f>SUMIF($L$3:$L$47,10,$I$3:$I$47)</f>
        <v>0</v>
      </c>
      <c r="Y13" s="187">
        <f>SUMIF($L$3:$L$47,11,$I$3:$I$47)</f>
        <v>0</v>
      </c>
      <c r="Z13" s="187">
        <f>SUMIF($L$3:$L$47,12,$I$3:$I$47)</f>
        <v>0</v>
      </c>
      <c r="AA13" s="1220">
        <f>SUMIF($L$3:$L$47,0,$I$3:$I$47)</f>
        <v>0</v>
      </c>
      <c r="AB13" s="1221"/>
    </row>
    <row r="14" spans="1:28" ht="13.35" customHeight="1">
      <c r="A14" s="50" t="s">
        <v>5</v>
      </c>
      <c r="B14" s="141"/>
      <c r="C14" s="80"/>
      <c r="D14" s="93"/>
      <c r="E14" s="226"/>
      <c r="F14" s="89"/>
      <c r="G14" s="81"/>
      <c r="H14" s="82"/>
      <c r="I14" s="83" t="str">
        <f t="shared" si="2"/>
        <v/>
      </c>
      <c r="J14" s="361" t="str">
        <f t="shared" si="3"/>
        <v/>
      </c>
      <c r="K14" s="200">
        <v>11</v>
      </c>
      <c r="L14" s="133">
        <f t="shared" si="4"/>
        <v>0</v>
      </c>
      <c r="M14" s="135" t="s">
        <v>5</v>
      </c>
      <c r="O14" s="1299">
        <f>SUM(O13:Z13)</f>
        <v>0</v>
      </c>
      <c r="P14" s="1300"/>
      <c r="Q14" s="1300"/>
      <c r="R14" s="1300"/>
      <c r="S14" s="1300"/>
      <c r="T14" s="1300"/>
      <c r="U14" s="1300"/>
      <c r="V14" s="1300"/>
      <c r="W14" s="1300"/>
      <c r="X14" s="1300"/>
      <c r="Y14" s="1300"/>
      <c r="Z14" s="1301"/>
      <c r="AA14" s="1222">
        <f>SUM(O13:Z13)+AA13</f>
        <v>0</v>
      </c>
      <c r="AB14" s="1223"/>
    </row>
    <row r="15" spans="1:28" ht="13.35" customHeight="1">
      <c r="A15" s="50" t="s">
        <v>5</v>
      </c>
      <c r="B15" s="141"/>
      <c r="C15" s="260"/>
      <c r="D15" s="93"/>
      <c r="E15" s="226"/>
      <c r="F15" s="89"/>
      <c r="G15" s="81"/>
      <c r="H15" s="82"/>
      <c r="I15" s="83" t="str">
        <f t="shared" si="2"/>
        <v/>
      </c>
      <c r="J15" s="361" t="str">
        <f t="shared" si="3"/>
        <v/>
      </c>
      <c r="K15" s="200">
        <v>12</v>
      </c>
      <c r="L15" s="133">
        <f t="shared" si="4"/>
        <v>0</v>
      </c>
      <c r="M15" s="135" t="s">
        <v>5</v>
      </c>
      <c r="O15" s="244"/>
      <c r="P15" s="244"/>
      <c r="Q15" s="244"/>
      <c r="R15" s="244"/>
      <c r="S15" s="244"/>
      <c r="T15" s="244"/>
      <c r="U15" s="244"/>
      <c r="V15" s="244"/>
      <c r="W15" s="244"/>
      <c r="X15" s="244"/>
      <c r="Y15" s="244"/>
      <c r="Z15" s="244"/>
      <c r="AA15" s="244"/>
      <c r="AB15" s="244"/>
    </row>
    <row r="16" spans="1:28" ht="13.35" customHeight="1">
      <c r="A16" s="50" t="s">
        <v>5</v>
      </c>
      <c r="B16" s="141"/>
      <c r="C16" s="80"/>
      <c r="D16" s="93"/>
      <c r="E16" s="226"/>
      <c r="F16" s="89"/>
      <c r="G16" s="81"/>
      <c r="H16" s="82"/>
      <c r="I16" s="83" t="str">
        <f t="shared" si="2"/>
        <v/>
      </c>
      <c r="J16" s="361" t="str">
        <f t="shared" si="3"/>
        <v/>
      </c>
      <c r="K16" s="200">
        <v>13</v>
      </c>
      <c r="L16" s="133">
        <f t="shared" si="4"/>
        <v>0</v>
      </c>
      <c r="M16" s="135" t="s">
        <v>5</v>
      </c>
      <c r="O16" s="244"/>
      <c r="P16" s="244"/>
      <c r="Q16" s="244"/>
      <c r="R16" s="244"/>
      <c r="S16" s="244"/>
      <c r="T16" s="244"/>
      <c r="U16" s="244"/>
      <c r="V16" s="244"/>
      <c r="W16" s="244"/>
      <c r="X16" s="244"/>
      <c r="Y16" s="244"/>
      <c r="Z16" s="244"/>
      <c r="AA16" s="258"/>
      <c r="AB16" s="244"/>
    </row>
    <row r="17" spans="1:28" ht="13.35" customHeight="1">
      <c r="A17" s="50" t="s">
        <v>5</v>
      </c>
      <c r="B17" s="141"/>
      <c r="C17" s="80"/>
      <c r="D17" s="93"/>
      <c r="E17" s="226"/>
      <c r="F17" s="89"/>
      <c r="G17" s="81"/>
      <c r="H17" s="82"/>
      <c r="I17" s="83" t="str">
        <f t="shared" si="2"/>
        <v/>
      </c>
      <c r="J17" s="361" t="str">
        <f t="shared" si="3"/>
        <v/>
      </c>
      <c r="K17" s="200">
        <v>14</v>
      </c>
      <c r="L17" s="133">
        <f t="shared" si="4"/>
        <v>0</v>
      </c>
      <c r="M17" s="135" t="s">
        <v>5</v>
      </c>
      <c r="O17" s="244"/>
      <c r="P17" s="244"/>
      <c r="Q17" s="244"/>
      <c r="R17" s="244"/>
      <c r="S17" s="244"/>
      <c r="T17" s="244"/>
      <c r="U17" s="244"/>
      <c r="V17" s="244"/>
      <c r="W17" s="244"/>
      <c r="X17" s="244"/>
      <c r="Y17" s="244"/>
      <c r="Z17" s="244"/>
      <c r="AA17" s="244"/>
      <c r="AB17" s="244"/>
    </row>
    <row r="18" spans="1:28" ht="13.35" customHeight="1">
      <c r="A18" s="50" t="s">
        <v>5</v>
      </c>
      <c r="B18" s="141"/>
      <c r="C18" s="80"/>
      <c r="D18" s="93"/>
      <c r="E18" s="226"/>
      <c r="F18" s="89"/>
      <c r="G18" s="81"/>
      <c r="H18" s="82"/>
      <c r="I18" s="83" t="str">
        <f t="shared" si="2"/>
        <v/>
      </c>
      <c r="J18" s="361" t="str">
        <f t="shared" si="3"/>
        <v/>
      </c>
      <c r="K18" s="200">
        <v>15</v>
      </c>
      <c r="L18" s="133">
        <f t="shared" si="4"/>
        <v>0</v>
      </c>
      <c r="M18" s="135" t="s">
        <v>5</v>
      </c>
      <c r="O18" s="244"/>
      <c r="P18" s="244"/>
      <c r="Q18" s="244"/>
      <c r="R18" s="244"/>
      <c r="S18" s="244"/>
      <c r="T18" s="244"/>
      <c r="U18" s="244"/>
      <c r="V18" s="244"/>
      <c r="W18" s="244"/>
      <c r="X18" s="244"/>
      <c r="Y18" s="244"/>
      <c r="Z18" s="244"/>
      <c r="AA18" s="244"/>
      <c r="AB18" s="244"/>
    </row>
    <row r="19" spans="1:28" ht="13.35" customHeight="1">
      <c r="A19" s="50" t="s">
        <v>5</v>
      </c>
      <c r="B19" s="141"/>
      <c r="C19" s="80"/>
      <c r="D19" s="93"/>
      <c r="E19" s="226"/>
      <c r="F19" s="89"/>
      <c r="G19" s="81"/>
      <c r="H19" s="82"/>
      <c r="I19" s="83" t="str">
        <f t="shared" si="2"/>
        <v/>
      </c>
      <c r="J19" s="361" t="str">
        <f t="shared" si="3"/>
        <v/>
      </c>
      <c r="K19" s="200">
        <v>16</v>
      </c>
      <c r="L19" s="133">
        <f t="shared" si="4"/>
        <v>0</v>
      </c>
      <c r="M19" s="135" t="s">
        <v>5</v>
      </c>
      <c r="O19" s="244"/>
      <c r="P19" s="244"/>
      <c r="Q19" s="244"/>
      <c r="R19" s="244"/>
      <c r="S19" s="244"/>
      <c r="T19" s="244"/>
      <c r="U19" s="244"/>
      <c r="V19" s="244"/>
      <c r="W19" s="244"/>
      <c r="X19" s="244"/>
      <c r="Y19" s="244"/>
      <c r="Z19" s="244"/>
      <c r="AA19" s="244"/>
      <c r="AB19" s="244"/>
    </row>
    <row r="20" spans="1:28" ht="13.35" customHeight="1">
      <c r="A20" s="50" t="s">
        <v>5</v>
      </c>
      <c r="B20" s="141"/>
      <c r="C20" s="80"/>
      <c r="D20" s="93"/>
      <c r="E20" s="226"/>
      <c r="F20" s="89"/>
      <c r="G20" s="81"/>
      <c r="H20" s="82"/>
      <c r="I20" s="83" t="str">
        <f t="shared" si="2"/>
        <v/>
      </c>
      <c r="J20" s="361" t="str">
        <f t="shared" si="3"/>
        <v/>
      </c>
      <c r="K20" s="200">
        <v>17</v>
      </c>
      <c r="L20" s="133">
        <f t="shared" si="4"/>
        <v>0</v>
      </c>
      <c r="M20" s="135" t="s">
        <v>5</v>
      </c>
      <c r="O20" s="244"/>
      <c r="P20" s="244"/>
      <c r="Q20" s="244"/>
      <c r="R20" s="244"/>
      <c r="S20" s="244"/>
      <c r="T20" s="244"/>
      <c r="U20" s="244"/>
      <c r="V20" s="244"/>
      <c r="W20" s="244"/>
      <c r="X20" s="244"/>
      <c r="Y20" s="244"/>
      <c r="Z20" s="244"/>
      <c r="AA20" s="244"/>
      <c r="AB20" s="244"/>
    </row>
    <row r="21" spans="1:28" ht="13.35" customHeight="1">
      <c r="A21" s="50" t="s">
        <v>5</v>
      </c>
      <c r="B21" s="141"/>
      <c r="C21" s="80"/>
      <c r="D21" s="93"/>
      <c r="E21" s="226"/>
      <c r="F21" s="89"/>
      <c r="G21" s="81"/>
      <c r="H21" s="82"/>
      <c r="I21" s="83" t="str">
        <f t="shared" si="2"/>
        <v/>
      </c>
      <c r="J21" s="361" t="str">
        <f t="shared" si="3"/>
        <v/>
      </c>
      <c r="K21" s="200">
        <v>18</v>
      </c>
      <c r="L21" s="133">
        <f t="shared" si="4"/>
        <v>0</v>
      </c>
      <c r="M21" s="135" t="s">
        <v>5</v>
      </c>
      <c r="O21" s="244"/>
      <c r="P21" s="244"/>
      <c r="Q21" s="244"/>
      <c r="R21" s="244"/>
      <c r="S21" s="244"/>
      <c r="T21" s="244"/>
      <c r="U21" s="244"/>
      <c r="V21" s="244"/>
      <c r="W21" s="244"/>
      <c r="X21" s="244"/>
      <c r="Y21" s="244"/>
      <c r="Z21" s="244"/>
      <c r="AA21" s="244"/>
      <c r="AB21" s="244"/>
    </row>
    <row r="22" spans="1:28" ht="13.35" customHeight="1">
      <c r="A22" s="50" t="s">
        <v>5</v>
      </c>
      <c r="B22" s="141"/>
      <c r="C22" s="80"/>
      <c r="D22" s="93"/>
      <c r="E22" s="226"/>
      <c r="F22" s="89"/>
      <c r="G22" s="81"/>
      <c r="H22" s="82"/>
      <c r="I22" s="83" t="str">
        <f t="shared" si="2"/>
        <v/>
      </c>
      <c r="J22" s="361" t="str">
        <f t="shared" si="3"/>
        <v/>
      </c>
      <c r="K22" s="200">
        <v>19</v>
      </c>
      <c r="L22" s="133">
        <f t="shared" si="4"/>
        <v>0</v>
      </c>
      <c r="M22" s="135" t="s">
        <v>5</v>
      </c>
      <c r="O22" s="244"/>
      <c r="P22" s="244"/>
      <c r="Q22" s="244"/>
      <c r="R22" s="244"/>
      <c r="S22" s="244"/>
      <c r="T22" s="244"/>
      <c r="U22" s="244"/>
      <c r="V22" s="244"/>
      <c r="W22" s="244"/>
      <c r="X22" s="244"/>
      <c r="Y22" s="244"/>
      <c r="Z22" s="244"/>
      <c r="AA22" s="244"/>
      <c r="AB22" s="244"/>
    </row>
    <row r="23" spans="1:28" ht="13.35" customHeight="1">
      <c r="A23" s="50" t="s">
        <v>5</v>
      </c>
      <c r="B23" s="141"/>
      <c r="C23" s="80"/>
      <c r="D23" s="94"/>
      <c r="E23" s="226"/>
      <c r="F23" s="89"/>
      <c r="G23" s="81"/>
      <c r="H23" s="82"/>
      <c r="I23" s="83" t="str">
        <f t="shared" si="2"/>
        <v/>
      </c>
      <c r="J23" s="361" t="str">
        <f t="shared" si="3"/>
        <v/>
      </c>
      <c r="K23" s="200">
        <v>20</v>
      </c>
      <c r="L23" s="133">
        <f t="shared" si="4"/>
        <v>0</v>
      </c>
      <c r="M23" s="135" t="s">
        <v>5</v>
      </c>
      <c r="O23" s="244"/>
      <c r="P23" s="244"/>
      <c r="Q23" s="244"/>
      <c r="R23" s="244"/>
      <c r="S23" s="244"/>
      <c r="T23" s="244"/>
      <c r="U23" s="244"/>
      <c r="V23" s="244"/>
      <c r="W23" s="244"/>
      <c r="X23" s="244"/>
      <c r="Y23" s="244"/>
      <c r="Z23" s="244"/>
      <c r="AA23" s="244"/>
      <c r="AB23" s="244"/>
    </row>
    <row r="24" spans="1:28" ht="13.35" customHeight="1">
      <c r="A24" s="50" t="s">
        <v>5</v>
      </c>
      <c r="B24" s="141"/>
      <c r="C24" s="80"/>
      <c r="D24" s="93"/>
      <c r="E24" s="226"/>
      <c r="F24" s="89"/>
      <c r="G24" s="81"/>
      <c r="H24" s="82"/>
      <c r="I24" s="83" t="str">
        <f t="shared" si="2"/>
        <v/>
      </c>
      <c r="J24" s="361" t="str">
        <f t="shared" si="3"/>
        <v/>
      </c>
      <c r="K24" s="200">
        <v>21</v>
      </c>
      <c r="L24" s="133">
        <f t="shared" si="4"/>
        <v>0</v>
      </c>
      <c r="M24" s="135" t="s">
        <v>5</v>
      </c>
      <c r="O24" s="244"/>
      <c r="P24" s="244"/>
      <c r="Q24" s="244"/>
      <c r="R24" s="244"/>
      <c r="S24" s="244"/>
      <c r="T24" s="244"/>
      <c r="U24" s="244"/>
      <c r="V24" s="244"/>
      <c r="W24" s="244"/>
      <c r="X24" s="244"/>
      <c r="Y24" s="244"/>
      <c r="Z24" s="244"/>
      <c r="AA24" s="244"/>
      <c r="AB24" s="244"/>
    </row>
    <row r="25" spans="1:28" ht="13.35" customHeight="1">
      <c r="A25" s="50" t="s">
        <v>5</v>
      </c>
      <c r="B25" s="141"/>
      <c r="C25" s="80"/>
      <c r="D25" s="93"/>
      <c r="E25" s="226"/>
      <c r="F25" s="89"/>
      <c r="G25" s="81"/>
      <c r="H25" s="82"/>
      <c r="I25" s="83" t="str">
        <f t="shared" si="2"/>
        <v/>
      </c>
      <c r="J25" s="361" t="str">
        <f t="shared" si="3"/>
        <v/>
      </c>
      <c r="K25" s="200">
        <v>22</v>
      </c>
      <c r="L25" s="133">
        <f t="shared" si="4"/>
        <v>0</v>
      </c>
      <c r="M25" s="135" t="s">
        <v>5</v>
      </c>
      <c r="O25" s="244"/>
      <c r="P25" s="244"/>
      <c r="Q25" s="244"/>
      <c r="R25" s="244"/>
      <c r="S25" s="244"/>
      <c r="T25" s="244"/>
      <c r="U25" s="244"/>
      <c r="V25" s="244"/>
      <c r="W25" s="244"/>
      <c r="X25" s="244"/>
      <c r="Y25" s="244"/>
      <c r="Z25" s="244"/>
      <c r="AA25" s="244"/>
      <c r="AB25" s="244"/>
    </row>
    <row r="26" spans="1:28" ht="13.35" customHeight="1">
      <c r="A26" s="50" t="s">
        <v>5</v>
      </c>
      <c r="B26" s="141"/>
      <c r="C26" s="80"/>
      <c r="D26" s="93"/>
      <c r="E26" s="226"/>
      <c r="F26" s="89"/>
      <c r="G26" s="81"/>
      <c r="H26" s="82"/>
      <c r="I26" s="83" t="str">
        <f t="shared" si="2"/>
        <v/>
      </c>
      <c r="J26" s="361" t="str">
        <f t="shared" si="3"/>
        <v/>
      </c>
      <c r="K26" s="200">
        <v>23</v>
      </c>
      <c r="L26" s="133">
        <f t="shared" si="4"/>
        <v>0</v>
      </c>
      <c r="M26" s="135" t="s">
        <v>5</v>
      </c>
      <c r="O26" s="244"/>
      <c r="P26" s="244"/>
      <c r="Q26" s="244"/>
      <c r="R26" s="244"/>
      <c r="S26" s="244"/>
      <c r="T26" s="244"/>
      <c r="U26" s="244"/>
      <c r="V26" s="244"/>
      <c r="W26" s="244"/>
      <c r="X26" s="244"/>
      <c r="Y26" s="244"/>
      <c r="Z26" s="244"/>
      <c r="AA26" s="244"/>
      <c r="AB26" s="244"/>
    </row>
    <row r="27" spans="1:28" ht="13.35" customHeight="1">
      <c r="A27" s="50" t="s">
        <v>5</v>
      </c>
      <c r="B27" s="141"/>
      <c r="C27" s="80"/>
      <c r="D27" s="93"/>
      <c r="E27" s="226"/>
      <c r="F27" s="89"/>
      <c r="G27" s="81"/>
      <c r="H27" s="82"/>
      <c r="I27" s="83" t="str">
        <f t="shared" si="2"/>
        <v/>
      </c>
      <c r="J27" s="361" t="str">
        <f t="shared" si="3"/>
        <v/>
      </c>
      <c r="K27" s="200">
        <v>24</v>
      </c>
      <c r="L27" s="133">
        <f t="shared" si="4"/>
        <v>0</v>
      </c>
      <c r="M27" s="135" t="s">
        <v>5</v>
      </c>
      <c r="O27" s="244"/>
      <c r="P27" s="244"/>
      <c r="Q27" s="244"/>
      <c r="R27" s="244"/>
      <c r="S27" s="244"/>
      <c r="T27" s="244"/>
      <c r="U27" s="244"/>
      <c r="V27" s="244"/>
      <c r="W27" s="244"/>
      <c r="X27" s="244"/>
      <c r="Y27" s="244"/>
      <c r="Z27" s="244"/>
      <c r="AA27" s="244"/>
      <c r="AB27" s="244"/>
    </row>
    <row r="28" spans="1:28" ht="13.35" customHeight="1">
      <c r="A28" s="50" t="s">
        <v>5</v>
      </c>
      <c r="B28" s="141"/>
      <c r="C28" s="80"/>
      <c r="D28" s="93"/>
      <c r="E28" s="226"/>
      <c r="F28" s="89"/>
      <c r="G28" s="81"/>
      <c r="H28" s="82"/>
      <c r="I28" s="83" t="str">
        <f t="shared" si="2"/>
        <v/>
      </c>
      <c r="J28" s="361" t="str">
        <f t="shared" si="3"/>
        <v/>
      </c>
      <c r="K28" s="200">
        <v>25</v>
      </c>
      <c r="L28" s="133">
        <f t="shared" si="4"/>
        <v>0</v>
      </c>
      <c r="M28" s="135" t="s">
        <v>5</v>
      </c>
      <c r="O28" s="244"/>
      <c r="P28" s="244"/>
      <c r="Q28" s="244"/>
      <c r="R28" s="244"/>
      <c r="S28" s="244"/>
      <c r="T28" s="244"/>
      <c r="U28" s="244"/>
      <c r="V28" s="244"/>
      <c r="W28" s="244"/>
      <c r="X28" s="244"/>
      <c r="Y28" s="244"/>
      <c r="Z28" s="244"/>
      <c r="AA28" s="244"/>
      <c r="AB28" s="244"/>
    </row>
    <row r="29" spans="1:28" ht="13.35" customHeight="1">
      <c r="A29" s="50" t="s">
        <v>5</v>
      </c>
      <c r="B29" s="141"/>
      <c r="C29" s="80"/>
      <c r="D29" s="93"/>
      <c r="E29" s="226"/>
      <c r="F29" s="89"/>
      <c r="G29" s="81"/>
      <c r="H29" s="82"/>
      <c r="I29" s="83" t="str">
        <f t="shared" si="2"/>
        <v/>
      </c>
      <c r="J29" s="361" t="str">
        <f t="shared" si="3"/>
        <v/>
      </c>
      <c r="K29" s="200">
        <v>26</v>
      </c>
      <c r="L29" s="133">
        <f t="shared" si="4"/>
        <v>0</v>
      </c>
      <c r="M29" s="135" t="s">
        <v>5</v>
      </c>
      <c r="O29" s="244"/>
      <c r="P29" s="244"/>
      <c r="Q29" s="244"/>
      <c r="R29" s="244"/>
      <c r="S29" s="244"/>
      <c r="T29" s="244"/>
      <c r="U29" s="244"/>
      <c r="V29" s="244"/>
      <c r="W29" s="244"/>
      <c r="X29" s="244"/>
      <c r="Y29" s="244"/>
      <c r="Z29" s="244"/>
      <c r="AA29" s="244"/>
      <c r="AB29" s="244"/>
    </row>
    <row r="30" spans="1:28" ht="13.35" customHeight="1">
      <c r="A30" s="50" t="s">
        <v>5</v>
      </c>
      <c r="B30" s="141"/>
      <c r="C30" s="80"/>
      <c r="D30" s="93"/>
      <c r="E30" s="226"/>
      <c r="F30" s="89"/>
      <c r="G30" s="81"/>
      <c r="H30" s="82"/>
      <c r="I30" s="83" t="str">
        <f t="shared" si="2"/>
        <v/>
      </c>
      <c r="J30" s="361" t="str">
        <f t="shared" si="3"/>
        <v/>
      </c>
      <c r="K30" s="200">
        <v>27</v>
      </c>
      <c r="L30" s="133">
        <f t="shared" si="4"/>
        <v>0</v>
      </c>
      <c r="M30" s="135" t="s">
        <v>5</v>
      </c>
      <c r="O30" s="244"/>
      <c r="P30" s="244"/>
      <c r="Q30" s="244"/>
      <c r="R30" s="244"/>
      <c r="S30" s="244"/>
      <c r="T30" s="244"/>
      <c r="U30" s="244"/>
      <c r="V30" s="244"/>
      <c r="W30" s="244"/>
      <c r="X30" s="244"/>
      <c r="Y30" s="244"/>
      <c r="Z30" s="244"/>
      <c r="AA30" s="244"/>
      <c r="AB30" s="244"/>
    </row>
    <row r="31" spans="1:28" ht="13.35" customHeight="1">
      <c r="A31" s="50" t="s">
        <v>5</v>
      </c>
      <c r="B31" s="141"/>
      <c r="C31" s="80"/>
      <c r="D31" s="93"/>
      <c r="E31" s="226"/>
      <c r="F31" s="89"/>
      <c r="G31" s="81"/>
      <c r="H31" s="82"/>
      <c r="I31" s="83" t="str">
        <f t="shared" si="2"/>
        <v/>
      </c>
      <c r="J31" s="361" t="str">
        <f t="shared" si="3"/>
        <v/>
      </c>
      <c r="K31" s="200">
        <v>28</v>
      </c>
      <c r="L31" s="133">
        <f t="shared" si="4"/>
        <v>0</v>
      </c>
      <c r="M31" s="135" t="s">
        <v>5</v>
      </c>
      <c r="O31" s="244"/>
      <c r="P31" s="244"/>
      <c r="Q31" s="244"/>
      <c r="R31" s="244"/>
      <c r="S31" s="244"/>
      <c r="T31" s="244"/>
      <c r="U31" s="244"/>
      <c r="V31" s="244"/>
      <c r="W31" s="244"/>
      <c r="X31" s="244"/>
      <c r="Y31" s="244"/>
      <c r="Z31" s="244"/>
      <c r="AA31" s="244"/>
      <c r="AB31" s="244"/>
    </row>
    <row r="32" spans="1:28" ht="13.35" customHeight="1">
      <c r="A32" s="50" t="s">
        <v>5</v>
      </c>
      <c r="B32" s="141"/>
      <c r="C32" s="80"/>
      <c r="D32" s="93"/>
      <c r="E32" s="226"/>
      <c r="F32" s="89"/>
      <c r="G32" s="81"/>
      <c r="H32" s="82"/>
      <c r="I32" s="83" t="str">
        <f t="shared" si="2"/>
        <v/>
      </c>
      <c r="J32" s="361" t="str">
        <f t="shared" si="3"/>
        <v/>
      </c>
      <c r="K32" s="200">
        <v>29</v>
      </c>
      <c r="L32" s="133">
        <f t="shared" si="4"/>
        <v>0</v>
      </c>
      <c r="M32" s="135" t="s">
        <v>5</v>
      </c>
      <c r="O32" s="244"/>
      <c r="P32" s="244"/>
      <c r="Q32" s="244"/>
      <c r="R32" s="244"/>
      <c r="S32" s="244"/>
      <c r="T32" s="244"/>
      <c r="U32" s="244"/>
      <c r="V32" s="244"/>
      <c r="W32" s="244"/>
      <c r="X32" s="244"/>
      <c r="Y32" s="244"/>
      <c r="Z32" s="244"/>
      <c r="AA32" s="244"/>
      <c r="AB32" s="244"/>
    </row>
    <row r="33" spans="1:28" ht="13.35" customHeight="1">
      <c r="A33" s="50" t="s">
        <v>5</v>
      </c>
      <c r="B33" s="141"/>
      <c r="C33" s="80"/>
      <c r="D33" s="93"/>
      <c r="E33" s="226"/>
      <c r="F33" s="89"/>
      <c r="G33" s="81"/>
      <c r="H33" s="82"/>
      <c r="I33" s="83" t="str">
        <f t="shared" si="2"/>
        <v/>
      </c>
      <c r="J33" s="361" t="str">
        <f t="shared" si="3"/>
        <v/>
      </c>
      <c r="K33" s="200">
        <v>30</v>
      </c>
      <c r="L33" s="133">
        <f t="shared" si="4"/>
        <v>0</v>
      </c>
      <c r="M33" s="135" t="s">
        <v>5</v>
      </c>
      <c r="O33" s="244"/>
      <c r="P33" s="244"/>
      <c r="Q33" s="244"/>
      <c r="R33" s="244"/>
      <c r="S33" s="244"/>
      <c r="T33" s="244"/>
      <c r="U33" s="244"/>
      <c r="V33" s="244"/>
      <c r="W33" s="244"/>
      <c r="X33" s="244"/>
      <c r="Y33" s="244"/>
      <c r="Z33" s="244"/>
      <c r="AA33" s="244"/>
      <c r="AB33" s="244"/>
    </row>
    <row r="34" spans="1:28" ht="13.35" customHeight="1">
      <c r="A34" s="50" t="s">
        <v>5</v>
      </c>
      <c r="B34" s="141"/>
      <c r="C34" s="80"/>
      <c r="D34" s="93"/>
      <c r="E34" s="226"/>
      <c r="F34" s="89"/>
      <c r="G34" s="81"/>
      <c r="H34" s="82"/>
      <c r="I34" s="83" t="str">
        <f t="shared" si="2"/>
        <v/>
      </c>
      <c r="J34" s="361" t="str">
        <f t="shared" si="3"/>
        <v/>
      </c>
      <c r="K34" s="200">
        <v>31</v>
      </c>
      <c r="L34" s="133">
        <f t="shared" si="4"/>
        <v>0</v>
      </c>
      <c r="M34" s="135" t="s">
        <v>5</v>
      </c>
      <c r="O34" s="244"/>
      <c r="P34" s="244"/>
      <c r="Q34" s="244"/>
      <c r="R34" s="244"/>
      <c r="S34" s="244"/>
      <c r="T34" s="244"/>
      <c r="U34" s="244"/>
      <c r="V34" s="244"/>
      <c r="W34" s="244"/>
      <c r="X34" s="244"/>
      <c r="Y34" s="244"/>
      <c r="Z34" s="244"/>
      <c r="AA34" s="244"/>
      <c r="AB34" s="244"/>
    </row>
    <row r="35" spans="1:28" ht="13.35" customHeight="1">
      <c r="A35" s="50" t="s">
        <v>5</v>
      </c>
      <c r="B35" s="141"/>
      <c r="C35" s="80"/>
      <c r="D35" s="93"/>
      <c r="E35" s="894"/>
      <c r="F35" s="89"/>
      <c r="G35" s="81"/>
      <c r="H35" s="82"/>
      <c r="I35" s="83" t="str">
        <f t="shared" si="2"/>
        <v/>
      </c>
      <c r="J35" s="361" t="str">
        <f t="shared" si="3"/>
        <v/>
      </c>
      <c r="K35" s="200">
        <v>32</v>
      </c>
      <c r="L35" s="133">
        <f t="shared" si="4"/>
        <v>0</v>
      </c>
      <c r="M35" s="135" t="s">
        <v>5</v>
      </c>
      <c r="O35" s="244"/>
      <c r="P35" s="244"/>
      <c r="Q35" s="244"/>
      <c r="R35" s="244"/>
      <c r="S35" s="244"/>
      <c r="T35" s="244"/>
      <c r="U35" s="244"/>
      <c r="V35" s="244"/>
      <c r="W35" s="244"/>
      <c r="X35" s="244"/>
      <c r="Y35" s="244"/>
      <c r="Z35" s="244"/>
      <c r="AA35" s="244"/>
      <c r="AB35" s="244"/>
    </row>
    <row r="36" spans="1:28" ht="13.35" customHeight="1">
      <c r="A36" s="50" t="s">
        <v>5</v>
      </c>
      <c r="B36" s="141"/>
      <c r="C36" s="80"/>
      <c r="D36" s="93"/>
      <c r="E36" s="894"/>
      <c r="F36" s="89"/>
      <c r="G36" s="81"/>
      <c r="H36" s="82"/>
      <c r="I36" s="83" t="str">
        <f t="shared" si="2"/>
        <v/>
      </c>
      <c r="J36" s="361" t="str">
        <f t="shared" si="3"/>
        <v/>
      </c>
      <c r="K36" s="200">
        <v>33</v>
      </c>
      <c r="L36" s="133">
        <f t="shared" si="4"/>
        <v>0</v>
      </c>
      <c r="M36" s="135" t="s">
        <v>5</v>
      </c>
      <c r="O36" s="244"/>
      <c r="P36" s="244"/>
      <c r="Q36" s="244"/>
      <c r="R36" s="244"/>
      <c r="S36" s="244"/>
      <c r="T36" s="244"/>
      <c r="U36" s="244"/>
      <c r="V36" s="244"/>
      <c r="W36" s="244"/>
      <c r="X36" s="244"/>
      <c r="Y36" s="244"/>
      <c r="Z36" s="244"/>
      <c r="AA36" s="244"/>
      <c r="AB36" s="244"/>
    </row>
    <row r="37" spans="1:28" ht="13.35" customHeight="1">
      <c r="A37" s="50" t="s">
        <v>5</v>
      </c>
      <c r="B37" s="141"/>
      <c r="C37" s="80"/>
      <c r="D37" s="93"/>
      <c r="E37" s="894"/>
      <c r="F37" s="89"/>
      <c r="G37" s="81"/>
      <c r="H37" s="82"/>
      <c r="I37" s="83" t="str">
        <f t="shared" si="2"/>
        <v/>
      </c>
      <c r="J37" s="361" t="str">
        <f t="shared" si="3"/>
        <v/>
      </c>
      <c r="K37" s="200">
        <v>34</v>
      </c>
      <c r="L37" s="133">
        <f t="shared" si="4"/>
        <v>0</v>
      </c>
      <c r="M37" s="135" t="s">
        <v>5</v>
      </c>
      <c r="O37" s="244"/>
      <c r="P37" s="244"/>
      <c r="Q37" s="244"/>
      <c r="R37" s="244"/>
      <c r="S37" s="244"/>
      <c r="T37" s="244"/>
      <c r="U37" s="244"/>
      <c r="V37" s="244"/>
      <c r="W37" s="244"/>
      <c r="X37" s="244"/>
      <c r="Y37" s="244"/>
      <c r="Z37" s="244"/>
      <c r="AA37" s="244"/>
      <c r="AB37" s="244"/>
    </row>
    <row r="38" spans="1:28" ht="13.35" customHeight="1">
      <c r="A38" s="50" t="s">
        <v>5</v>
      </c>
      <c r="B38" s="141"/>
      <c r="C38" s="80"/>
      <c r="D38" s="93"/>
      <c r="E38" s="894"/>
      <c r="F38" s="89"/>
      <c r="G38" s="81"/>
      <c r="H38" s="82"/>
      <c r="I38" s="83" t="str">
        <f t="shared" si="2"/>
        <v/>
      </c>
      <c r="J38" s="361" t="str">
        <f t="shared" si="3"/>
        <v/>
      </c>
      <c r="K38" s="200">
        <v>35</v>
      </c>
      <c r="L38" s="133">
        <f t="shared" si="4"/>
        <v>0</v>
      </c>
      <c r="M38" s="135" t="s">
        <v>5</v>
      </c>
      <c r="O38" s="244"/>
      <c r="P38" s="244"/>
      <c r="Q38" s="244"/>
      <c r="R38" s="244"/>
      <c r="S38" s="244"/>
      <c r="T38" s="244"/>
      <c r="U38" s="244"/>
      <c r="V38" s="244"/>
      <c r="W38" s="244"/>
      <c r="X38" s="244"/>
      <c r="Y38" s="244"/>
      <c r="Z38" s="244"/>
      <c r="AA38" s="244"/>
      <c r="AB38" s="244"/>
    </row>
    <row r="39" spans="1:28" ht="13.35" customHeight="1">
      <c r="A39" s="50" t="s">
        <v>5</v>
      </c>
      <c r="B39" s="141"/>
      <c r="C39" s="80"/>
      <c r="D39" s="93"/>
      <c r="E39" s="894"/>
      <c r="F39" s="89"/>
      <c r="G39" s="81"/>
      <c r="H39" s="82"/>
      <c r="I39" s="83" t="str">
        <f t="shared" si="2"/>
        <v/>
      </c>
      <c r="J39" s="361" t="str">
        <f t="shared" si="3"/>
        <v/>
      </c>
      <c r="K39" s="200">
        <v>36</v>
      </c>
      <c r="L39" s="133">
        <f t="shared" si="4"/>
        <v>0</v>
      </c>
      <c r="M39" s="135" t="s">
        <v>5</v>
      </c>
      <c r="O39" s="244"/>
      <c r="P39" s="244"/>
      <c r="Q39" s="244"/>
      <c r="R39" s="244"/>
      <c r="S39" s="244"/>
      <c r="T39" s="244"/>
      <c r="U39" s="244"/>
      <c r="V39" s="244"/>
      <c r="W39" s="244"/>
      <c r="X39" s="244"/>
      <c r="Y39" s="244"/>
      <c r="Z39" s="244"/>
      <c r="AA39" s="244"/>
      <c r="AB39" s="244"/>
    </row>
    <row r="40" spans="1:28" ht="13.35" customHeight="1">
      <c r="A40" s="50" t="s">
        <v>5</v>
      </c>
      <c r="B40" s="141"/>
      <c r="C40" s="80"/>
      <c r="D40" s="93"/>
      <c r="E40" s="894"/>
      <c r="F40" s="89"/>
      <c r="G40" s="81"/>
      <c r="H40" s="82"/>
      <c r="I40" s="83" t="str">
        <f t="shared" si="2"/>
        <v/>
      </c>
      <c r="J40" s="361" t="str">
        <f t="shared" si="3"/>
        <v/>
      </c>
      <c r="K40" s="200">
        <v>37</v>
      </c>
      <c r="L40" s="133">
        <f t="shared" si="4"/>
        <v>0</v>
      </c>
      <c r="M40" s="135" t="s">
        <v>5</v>
      </c>
      <c r="O40" s="244"/>
      <c r="P40" s="244"/>
      <c r="Q40" s="244"/>
      <c r="R40" s="244"/>
      <c r="S40" s="244"/>
      <c r="T40" s="244"/>
      <c r="U40" s="244"/>
      <c r="V40" s="244"/>
      <c r="W40" s="244"/>
      <c r="X40" s="244"/>
      <c r="Y40" s="244"/>
      <c r="Z40" s="244"/>
      <c r="AA40" s="244"/>
      <c r="AB40" s="244"/>
    </row>
    <row r="41" spans="1:28" ht="13.35" customHeight="1">
      <c r="A41" s="50" t="s">
        <v>5</v>
      </c>
      <c r="B41" s="141"/>
      <c r="C41" s="80"/>
      <c r="D41" s="93"/>
      <c r="E41" s="894"/>
      <c r="F41" s="89"/>
      <c r="G41" s="81"/>
      <c r="H41" s="82"/>
      <c r="I41" s="83" t="str">
        <f t="shared" si="2"/>
        <v/>
      </c>
      <c r="J41" s="361" t="str">
        <f t="shared" si="3"/>
        <v/>
      </c>
      <c r="K41" s="200">
        <v>38</v>
      </c>
      <c r="L41" s="133">
        <f t="shared" si="4"/>
        <v>0</v>
      </c>
      <c r="M41" s="135" t="s">
        <v>5</v>
      </c>
      <c r="O41" s="244"/>
      <c r="P41" s="244"/>
      <c r="Q41" s="244"/>
      <c r="R41" s="244"/>
      <c r="S41" s="244"/>
      <c r="T41" s="244"/>
      <c r="U41" s="244"/>
      <c r="V41" s="244"/>
      <c r="W41" s="244"/>
      <c r="X41" s="244"/>
      <c r="Y41" s="244"/>
      <c r="Z41" s="244"/>
      <c r="AA41" s="244"/>
      <c r="AB41" s="244"/>
    </row>
    <row r="42" spans="1:28" ht="13.35" customHeight="1">
      <c r="A42" s="50" t="s">
        <v>5</v>
      </c>
      <c r="B42" s="141"/>
      <c r="C42" s="80"/>
      <c r="D42" s="93"/>
      <c r="E42" s="226"/>
      <c r="F42" s="89"/>
      <c r="G42" s="81"/>
      <c r="H42" s="82"/>
      <c r="I42" s="83" t="str">
        <f t="shared" si="2"/>
        <v/>
      </c>
      <c r="J42" s="361" t="str">
        <f t="shared" si="3"/>
        <v/>
      </c>
      <c r="K42" s="200">
        <v>39</v>
      </c>
      <c r="L42" s="133">
        <f t="shared" si="4"/>
        <v>0</v>
      </c>
      <c r="M42" s="135" t="s">
        <v>5</v>
      </c>
      <c r="O42" s="244"/>
      <c r="P42" s="244"/>
      <c r="Q42" s="244"/>
      <c r="R42" s="244"/>
      <c r="S42" s="244"/>
      <c r="T42" s="244"/>
      <c r="U42" s="244"/>
      <c r="V42" s="244"/>
      <c r="W42" s="244"/>
      <c r="X42" s="244"/>
      <c r="Y42" s="244"/>
      <c r="Z42" s="244"/>
      <c r="AA42" s="244"/>
      <c r="AB42" s="244"/>
    </row>
    <row r="43" spans="1:28" ht="13.35" customHeight="1">
      <c r="A43" s="50" t="s">
        <v>5</v>
      </c>
      <c r="B43" s="141"/>
      <c r="C43" s="80"/>
      <c r="D43" s="93"/>
      <c r="E43" s="226"/>
      <c r="F43" s="89"/>
      <c r="G43" s="81"/>
      <c r="H43" s="82"/>
      <c r="I43" s="83" t="str">
        <f t="shared" si="2"/>
        <v/>
      </c>
      <c r="J43" s="361" t="str">
        <f t="shared" si="3"/>
        <v/>
      </c>
      <c r="K43" s="200">
        <v>40</v>
      </c>
      <c r="L43" s="133">
        <f t="shared" si="4"/>
        <v>0</v>
      </c>
      <c r="M43" s="135" t="s">
        <v>5</v>
      </c>
      <c r="O43" s="244"/>
      <c r="P43" s="244"/>
      <c r="Q43" s="244"/>
      <c r="R43" s="244"/>
      <c r="S43" s="244"/>
      <c r="T43" s="244"/>
      <c r="U43" s="244"/>
      <c r="V43" s="244"/>
      <c r="W43" s="244"/>
      <c r="X43" s="244"/>
      <c r="Y43" s="244"/>
      <c r="Z43" s="244"/>
      <c r="AA43" s="244"/>
      <c r="AB43" s="244"/>
    </row>
    <row r="44" spans="1:28" ht="13.35" customHeight="1">
      <c r="A44" s="50" t="s">
        <v>5</v>
      </c>
      <c r="B44" s="141"/>
      <c r="C44" s="80"/>
      <c r="D44" s="93"/>
      <c r="E44" s="226"/>
      <c r="F44" s="89"/>
      <c r="G44" s="81"/>
      <c r="H44" s="82"/>
      <c r="I44" s="83" t="str">
        <f t="shared" si="2"/>
        <v/>
      </c>
      <c r="J44" s="361" t="str">
        <f t="shared" si="3"/>
        <v/>
      </c>
      <c r="K44" s="200">
        <v>41</v>
      </c>
      <c r="L44" s="133">
        <f t="shared" si="4"/>
        <v>0</v>
      </c>
      <c r="M44" s="135" t="s">
        <v>5</v>
      </c>
      <c r="O44" s="244"/>
      <c r="P44" s="244"/>
      <c r="Q44" s="244"/>
      <c r="R44" s="244"/>
      <c r="S44" s="244"/>
      <c r="T44" s="244"/>
      <c r="U44" s="244"/>
      <c r="V44" s="244"/>
      <c r="W44" s="244"/>
      <c r="X44" s="244"/>
      <c r="Y44" s="244"/>
      <c r="Z44" s="244"/>
      <c r="AA44" s="244"/>
      <c r="AB44" s="244"/>
    </row>
    <row r="45" spans="1:28" ht="13.35" customHeight="1">
      <c r="A45" s="50" t="s">
        <v>5</v>
      </c>
      <c r="B45" s="141"/>
      <c r="C45" s="80"/>
      <c r="D45" s="93"/>
      <c r="E45" s="226"/>
      <c r="F45" s="89"/>
      <c r="G45" s="81"/>
      <c r="H45" s="82"/>
      <c r="I45" s="83" t="str">
        <f t="shared" ref="I45:I46" si="7">IF(G45&lt;&gt;"",+G45-G45/(1+H45/100),"")</f>
        <v/>
      </c>
      <c r="J45" s="361" t="str">
        <f t="shared" ref="J45:J46" si="8">IF(G45&lt;&gt;0,+G45-I45,"")</f>
        <v/>
      </c>
      <c r="K45" s="200">
        <v>44</v>
      </c>
      <c r="L45" s="133">
        <f t="shared" ref="L45:L46" si="9">IF(B45&lt;$O$2,0,IF(B45&lt;$P$2,1,IF(B45&lt;$Q$2,2,IF(B45&lt;$R$2,3,IF(B45&lt;$S$2,4,IF(B45&lt;$T$2,5,IF(B45&lt;$U$2,6,IF(B45&lt;$V$2,7,IF(B45&lt;$W$2,8,IF(B45&lt;$X$2,9,IF(B45&lt;$Y$2,10,IF(B45&lt;$Z$2,11,IF(B45&lt;=$Z$3,12,0)))))))))))))</f>
        <v>0</v>
      </c>
      <c r="M45" s="135" t="s">
        <v>5</v>
      </c>
      <c r="O45" s="244"/>
      <c r="P45" s="244"/>
      <c r="Q45" s="244"/>
      <c r="R45" s="244"/>
      <c r="S45" s="244"/>
      <c r="T45" s="244"/>
      <c r="U45" s="244"/>
      <c r="V45" s="244"/>
      <c r="W45" s="244"/>
      <c r="X45" s="244"/>
      <c r="Y45" s="244"/>
      <c r="Z45" s="244"/>
      <c r="AA45" s="244"/>
      <c r="AB45" s="244"/>
    </row>
    <row r="46" spans="1:28" ht="13.35" customHeight="1" thickBot="1">
      <c r="A46" s="50" t="s">
        <v>5</v>
      </c>
      <c r="B46" s="141"/>
      <c r="C46" s="80"/>
      <c r="D46" s="93"/>
      <c r="E46" s="226"/>
      <c r="F46" s="89"/>
      <c r="G46" s="81"/>
      <c r="H46" s="82"/>
      <c r="I46" s="83" t="str">
        <f t="shared" si="7"/>
        <v/>
      </c>
      <c r="J46" s="361" t="str">
        <f t="shared" si="8"/>
        <v/>
      </c>
      <c r="K46" s="200">
        <v>45</v>
      </c>
      <c r="L46" s="133">
        <f t="shared" si="9"/>
        <v>0</v>
      </c>
      <c r="M46" s="135" t="s">
        <v>5</v>
      </c>
      <c r="O46" s="244"/>
      <c r="P46" s="244"/>
      <c r="Q46" s="244"/>
      <c r="R46" s="244"/>
      <c r="S46" s="244"/>
      <c r="T46" s="244"/>
      <c r="U46" s="244"/>
      <c r="V46" s="244"/>
      <c r="W46" s="244"/>
      <c r="X46" s="244"/>
      <c r="Y46" s="244"/>
      <c r="Z46" s="244"/>
      <c r="AA46" s="244"/>
      <c r="AB46" s="244"/>
    </row>
    <row r="47" spans="1:28" ht="12" customHeight="1" thickTop="1" thickBot="1">
      <c r="A47" s="391" t="s">
        <v>283</v>
      </c>
      <c r="B47" s="1244" t="str">
        <f>IF($A$48=0,"^ Zeile einfügen","bis hierher ziehen!")</f>
        <v>^ Zeile einfügen</v>
      </c>
      <c r="C47" s="1244"/>
      <c r="D47" s="392" t="s">
        <v>5</v>
      </c>
      <c r="E47" s="393" t="s">
        <v>5</v>
      </c>
      <c r="F47" s="394" t="s">
        <v>5</v>
      </c>
      <c r="G47" s="394"/>
      <c r="H47" s="395"/>
      <c r="I47" s="396"/>
      <c r="J47" s="425"/>
      <c r="K47" s="201">
        <v>0</v>
      </c>
      <c r="L47" s="185" t="s">
        <v>5</v>
      </c>
      <c r="M47" s="398" t="s">
        <v>283</v>
      </c>
    </row>
    <row r="48" spans="1:28" ht="12" customHeight="1" thickTop="1" thickBot="1">
      <c r="A48" s="390">
        <f>COUNTBLANK(A3:A47)+A49</f>
        <v>0</v>
      </c>
      <c r="B48" s="193" t="str">
        <f>+EÜR!C24</f>
        <v>ü</v>
      </c>
      <c r="C48" s="194" t="s">
        <v>5</v>
      </c>
      <c r="D48" s="194" t="s">
        <v>5</v>
      </c>
      <c r="E48" s="195" t="s">
        <v>5</v>
      </c>
      <c r="F48" s="196" t="s">
        <v>5</v>
      </c>
      <c r="G48" s="197">
        <f>SUBTOTAL(9,G3:G47)</f>
        <v>0</v>
      </c>
      <c r="H48" s="1242">
        <f>SUBTOTAL(9,I3:I47)</f>
        <v>0</v>
      </c>
      <c r="I48" s="1243">
        <f>SUBTOTAL(9,I3:I47)</f>
        <v>0</v>
      </c>
      <c r="J48" s="1293">
        <f>G48-H48</f>
        <v>0</v>
      </c>
      <c r="K48" s="1294"/>
      <c r="L48" s="1295"/>
      <c r="M48" s="135" t="s">
        <v>5</v>
      </c>
    </row>
    <row r="49" spans="1:14" ht="12" customHeight="1" thickTop="1" thickBot="1">
      <c r="A49" s="390">
        <f>IF(ISERROR(J47),1,0)</f>
        <v>0</v>
      </c>
      <c r="B49" s="192">
        <f>J48-G49-E49-C49</f>
        <v>0</v>
      </c>
      <c r="C49" s="1239">
        <f>SUMIF(F4:F47,"Kreditkarte",G4:G47)</f>
        <v>0</v>
      </c>
      <c r="D49" s="1239"/>
      <c r="E49" s="1240">
        <f>SUMIF(F4:F47,"Konto",G4:G47)</f>
        <v>0</v>
      </c>
      <c r="F49" s="1240"/>
      <c r="G49" s="1241">
        <f>SUMIF(F4:F47,"Geldbeutel",G4:G47)</f>
        <v>0</v>
      </c>
      <c r="H49" s="1241"/>
      <c r="I49" s="1241"/>
      <c r="J49" s="1296"/>
      <c r="K49" s="1297"/>
      <c r="L49" s="1298"/>
      <c r="M49" s="135" t="s">
        <v>5</v>
      </c>
    </row>
    <row r="50" spans="1:14" s="15" customFormat="1" ht="5.25" customHeight="1" thickTop="1">
      <c r="A50" s="36"/>
      <c r="B50" s="2"/>
      <c r="C50" s="3"/>
      <c r="D50" s="3"/>
      <c r="E50" s="1"/>
      <c r="G50" s="16"/>
      <c r="H50" s="16"/>
      <c r="I50" s="17"/>
      <c r="J50" s="18"/>
      <c r="K50" s="18"/>
      <c r="L50" s="31"/>
      <c r="N50" s="148"/>
    </row>
    <row r="51" spans="1:14">
      <c r="A51" s="36"/>
    </row>
  </sheetData>
  <sheetProtection formatCells="0" insertRows="0" deleteRows="0" selectLockedCells="1" sort="0" autoFilter="0"/>
  <sortState xmlns:xlrd2="http://schemas.microsoft.com/office/spreadsheetml/2017/richdata2" ref="B4:G30">
    <sortCondition ref="B4:B30"/>
  </sortState>
  <mergeCells count="15">
    <mergeCell ref="C2:I2"/>
    <mergeCell ref="J2:L2"/>
    <mergeCell ref="AA9:AB9"/>
    <mergeCell ref="O10:Z10"/>
    <mergeCell ref="O11:Z11"/>
    <mergeCell ref="AA4:AB4"/>
    <mergeCell ref="AA13:AB13"/>
    <mergeCell ref="O14:Z14"/>
    <mergeCell ref="AA14:AB14"/>
    <mergeCell ref="J48:L49"/>
    <mergeCell ref="C49:D49"/>
    <mergeCell ref="E49:F49"/>
    <mergeCell ref="G49:I49"/>
    <mergeCell ref="H48:I48"/>
    <mergeCell ref="B47:C47"/>
  </mergeCells>
  <phoneticPr fontId="188" type="noConversion"/>
  <conditionalFormatting sqref="A4:A46">
    <cfRule type="expression" dxfId="1316" priority="24">
      <formula>ISERROR(J4)</formula>
    </cfRule>
    <cfRule type="cellIs" dxfId="1315" priority="25" operator="equal">
      <formula>""</formula>
    </cfRule>
  </conditionalFormatting>
  <conditionalFormatting sqref="A47:C47">
    <cfRule type="expression" dxfId="1314" priority="9">
      <formula>$A$48&lt;&gt;0</formula>
    </cfRule>
  </conditionalFormatting>
  <conditionalFormatting sqref="B2">
    <cfRule type="expression" dxfId="1313" priority="51" stopIfTrue="1">
      <formula>$B$48="x"</formula>
    </cfRule>
  </conditionalFormatting>
  <conditionalFormatting sqref="B4:B46">
    <cfRule type="cellIs" dxfId="1310" priority="38" operator="equal">
      <formula>""</formula>
    </cfRule>
  </conditionalFormatting>
  <conditionalFormatting sqref="B48">
    <cfRule type="cellIs" dxfId="1309" priority="74" operator="equal">
      <formula>"y"</formula>
    </cfRule>
  </conditionalFormatting>
  <conditionalFormatting sqref="B3:J3">
    <cfRule type="expression" dxfId="1308" priority="10823">
      <formula>$B$48="x"</formula>
    </cfRule>
  </conditionalFormatting>
  <conditionalFormatting sqref="B4:J46">
    <cfRule type="expression" dxfId="1307" priority="2">
      <formula>$B$1="x"</formula>
    </cfRule>
  </conditionalFormatting>
  <conditionalFormatting sqref="B3:L3">
    <cfRule type="expression" dxfId="1306" priority="68">
      <formula>$B$48="x"</formula>
    </cfRule>
  </conditionalFormatting>
  <conditionalFormatting sqref="C4:D46">
    <cfRule type="expression" dxfId="1305" priority="41">
      <formula>AND($B4&lt;&gt;"",$C4="")</formula>
    </cfRule>
  </conditionalFormatting>
  <conditionalFormatting sqref="C49:I49">
    <cfRule type="cellIs" dxfId="1304" priority="73" stopIfTrue="1" operator="lessThan">
      <formula>0</formula>
    </cfRule>
    <cfRule type="cellIs" dxfId="1303" priority="71" stopIfTrue="1" operator="greaterThanOrEqual">
      <formula>0</formula>
    </cfRule>
  </conditionalFormatting>
  <conditionalFormatting sqref="D47:J47">
    <cfRule type="expression" dxfId="1302" priority="11">
      <formula>$A$48&lt;&gt;0</formula>
    </cfRule>
  </conditionalFormatting>
  <conditionalFormatting sqref="H4:H46">
    <cfRule type="expression" dxfId="1301" priority="37">
      <formula>AND(G4&lt;&gt;"",H4="",$I$1&lt;&gt;"x")</formula>
    </cfRule>
  </conditionalFormatting>
  <conditionalFormatting sqref="H4:I46">
    <cfRule type="expression" dxfId="1300" priority="35">
      <formula>AND($I4&lt;&gt;0,$I$1&lt;&gt;"ü")</formula>
    </cfRule>
    <cfRule type="expression" dxfId="1299" priority="36">
      <formula>$I$1&lt;&gt;"ü"</formula>
    </cfRule>
  </conditionalFormatting>
  <conditionalFormatting sqref="J48:L48 C49:L49 C48:H48">
    <cfRule type="expression" dxfId="1297" priority="70">
      <formula>$B$48="x"</formula>
    </cfRule>
  </conditionalFormatting>
  <conditionalFormatting sqref="J48:L49">
    <cfRule type="expression" dxfId="1296" priority="69">
      <formula>AND($B$48="x",$J$48&lt;&gt;0)</formula>
    </cfRule>
  </conditionalFormatting>
  <conditionalFormatting sqref="K4:L46">
    <cfRule type="expression" dxfId="1295" priority="17464">
      <formula>$B$48="x"</formula>
    </cfRule>
  </conditionalFormatting>
  <conditionalFormatting sqref="M3">
    <cfRule type="cellIs" dxfId="1294" priority="33" operator="equal">
      <formula>""</formula>
    </cfRule>
  </conditionalFormatting>
  <conditionalFormatting sqref="M4:M46">
    <cfRule type="expression" dxfId="1293" priority="31">
      <formula>ISERROR(J4)</formula>
    </cfRule>
    <cfRule type="cellIs" dxfId="1292" priority="32" operator="equal">
      <formula>""</formula>
    </cfRule>
  </conditionalFormatting>
  <conditionalFormatting sqref="M47">
    <cfRule type="expression" dxfId="1291" priority="10">
      <formula>$A$48&lt;&gt;0</formula>
    </cfRule>
  </conditionalFormatting>
  <conditionalFormatting sqref="M47:M49">
    <cfRule type="cellIs" dxfId="1290" priority="13" operator="equal">
      <formula>""</formula>
    </cfRule>
  </conditionalFormatting>
  <conditionalFormatting sqref="N10:AB10">
    <cfRule type="expression" dxfId="1289" priority="8">
      <formula>$N$2=0</formula>
    </cfRule>
  </conditionalFormatting>
  <conditionalFormatting sqref="O11:Z11">
    <cfRule type="cellIs" dxfId="1288" priority="55" operator="equal">
      <formula>"Fehler!"</formula>
    </cfRule>
  </conditionalFormatting>
  <conditionalFormatting sqref="O4:AA4">
    <cfRule type="expression" dxfId="1284" priority="50">
      <formula>$N$2=0</formula>
    </cfRule>
  </conditionalFormatting>
  <conditionalFormatting sqref="O2:AB3">
    <cfRule type="expression" dxfId="1282" priority="3">
      <formula>$N$2=0</formula>
    </cfRule>
  </conditionalFormatting>
  <conditionalFormatting sqref="O5:AB8 O9:AA9">
    <cfRule type="expression" dxfId="1281" priority="54">
      <formula>$N$2=0</formula>
    </cfRule>
  </conditionalFormatting>
  <conditionalFormatting sqref="O11:AB14">
    <cfRule type="expression" dxfId="1280" priority="1">
      <formula>$N$2=0</formula>
    </cfRule>
  </conditionalFormatting>
  <conditionalFormatting sqref="O47:AB49">
    <cfRule type="expression" dxfId="1279" priority="12">
      <formula>$N$2=0</formula>
    </cfRule>
  </conditionalFormatting>
  <dataValidations count="2">
    <dataValidation type="list" allowBlank="1" showInputMessage="1" showErrorMessage="1" sqref="H4:H46" xr:uid="{272073BB-84F8-4497-ABAC-DB7E78F92A89}">
      <formula1>"19,7,0,~"</formula1>
    </dataValidation>
    <dataValidation type="list" allowBlank="1" showInputMessage="1" showErrorMessage="1" sqref="F4:F46" xr:uid="{1D7D97D3-9F76-41FC-99FE-987B82BBD2FF}">
      <formula1>"Konto,Geldbeutel,Kreditkarte,x"</formula1>
    </dataValidation>
  </dataValidations>
  <hyperlinks>
    <hyperlink ref="J2" location="'2022 EÜR'!A1" display="Menü" xr:uid="{F4BBE45C-7DD1-4072-9069-2C62B1FCAF23}"/>
    <hyperlink ref="J2:L2" location="EÜR!A1" display="EÜR" xr:uid="{2AC371AD-4FEF-408D-9F56-C0C530C11F60}"/>
  </hyperlinks>
  <printOptions horizontalCentered="1"/>
  <pageMargins left="0" right="0" top="0" bottom="0.31496062992125984" header="0" footer="0"/>
  <pageSetup paperSize="9" orientation="portrait" r:id="rId1"/>
  <headerFooter>
    <oddFooter>&amp;L&amp;"Arial,Standard"&amp;8Datei: &amp;Z&amp;F/&amp;A&amp;C&amp;"Arial,Standard"&amp;8Seite &amp;P von &amp;N&amp;R&amp;"Arial,Standard"&amp;8Druck: &amp;D&amp;T Uhr</oddFooter>
  </headerFooter>
  <extLst>
    <ext xmlns:x14="http://schemas.microsoft.com/office/spreadsheetml/2009/9/main" uri="{78C0D931-6437-407d-A8EE-F0AAD7539E65}">
      <x14:conditionalFormattings>
        <x14:conditionalFormatting xmlns:xm="http://schemas.microsoft.com/office/excel/2006/main">
          <x14:cfRule type="cellIs" priority="39" operator="greaterThan" id="{45C1764C-AB70-48F2-AD4C-E0C6BCC1B385}">
            <xm:f>EÜR!$I$78</xm:f>
            <x14:dxf>
              <font>
                <b/>
                <i val="0"/>
                <color rgb="FFFFFF00"/>
              </font>
              <fill>
                <patternFill>
                  <bgColor rgb="FFC00000"/>
                </patternFill>
              </fill>
            </x14:dxf>
          </x14:cfRule>
          <x14:cfRule type="cellIs" priority="40" operator="lessThan" id="{E79321F0-6F9C-45BB-81D4-0EF81C3E1379}">
            <xm:f>EÜR!$I$77</xm:f>
            <x14:dxf>
              <font>
                <b/>
                <i val="0"/>
                <color rgb="FFFFFF00"/>
              </font>
              <fill>
                <patternFill>
                  <bgColor rgb="FFC00000"/>
                </patternFill>
              </fill>
            </x14:dxf>
          </x14:cfRule>
          <xm:sqref>B4:B46</xm:sqref>
        </x14:conditionalFormatting>
        <x14:conditionalFormatting xmlns:xm="http://schemas.microsoft.com/office/excel/2006/main">
          <x14:cfRule type="expression" priority="52" id="{CC613E3D-A748-482C-AC46-60173629D83F}">
            <xm:f>AND(EÜR!$J$66&lt;&gt;"ü",$H$48&lt;&gt;0)</xm:f>
            <x14:dxf>
              <font>
                <b/>
                <i val="0"/>
                <color rgb="FFFFFF00"/>
              </font>
              <fill>
                <patternFill>
                  <bgColor rgb="FFFF0000"/>
                </patternFill>
              </fill>
            </x14:dxf>
          </x14:cfRule>
          <xm:sqref>H48:I48</xm:sqref>
        </x14:conditionalFormatting>
        <x14:conditionalFormatting xmlns:xm="http://schemas.microsoft.com/office/excel/2006/main">
          <x14:cfRule type="expression" priority="56" id="{7A46A5EF-9BC7-43BC-855C-75BE2F60DA3F}">
            <xm:f>AND(O13&lt;&gt;0,U!L36="!",U!L37="!")</xm:f>
            <x14:dxf>
              <font>
                <b/>
                <i val="0"/>
                <color rgb="FFFF0000"/>
              </font>
              <fill>
                <patternFill>
                  <bgColor rgb="FFFFCCCC"/>
                </patternFill>
              </fill>
            </x14:dxf>
          </x14:cfRule>
          <x14:cfRule type="expression" priority="57" id="{964F5AF1-2649-4F9F-9A7C-41D7950D882C}">
            <xm:f>U!L37&lt;&gt;"!"</xm:f>
            <x14:dxf>
              <font>
                <b/>
                <i val="0"/>
                <color rgb="FF006666"/>
              </font>
              <fill>
                <patternFill>
                  <bgColor theme="6" tint="0.39994506668294322"/>
                </patternFill>
              </fill>
            </x14:dxf>
          </x14:cfRule>
          <x14:cfRule type="expression" priority="58" id="{4D2B63CE-B71B-495B-966F-DDA10DF8A5F9}">
            <xm:f>U!L36&lt;&gt;"!"</xm:f>
            <x14:dxf>
              <font>
                <b/>
                <i val="0"/>
                <color theme="9" tint="-0.499984740745262"/>
              </font>
              <fill>
                <patternFill>
                  <bgColor rgb="FFFFFF99"/>
                </patternFill>
              </fill>
            </x14:dxf>
          </x14:cfRule>
          <xm:sqref>O13:Z13</xm:sqref>
        </x14:conditionalFormatting>
        <x14:conditionalFormatting xmlns:xm="http://schemas.microsoft.com/office/excel/2006/main">
          <x14:cfRule type="expression" priority="4" id="{9B07AB0B-B477-4895-A892-82B205A356C2}">
            <xm:f>EÜR!$J$66="-"</xm:f>
            <x14:dxf>
              <font>
                <b/>
                <i val="0"/>
                <color theme="0"/>
              </font>
              <fill>
                <patternFill>
                  <bgColor theme="0"/>
                </patternFill>
              </fill>
              <border>
                <left/>
                <right/>
                <top/>
                <bottom/>
              </border>
            </x14:dxf>
          </x14:cfRule>
          <xm:sqref>O12:AA14</xm:sqref>
        </x14:conditionalFormatting>
      </x14:conditionalFormatting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5D971A-B35C-4D19-9D4C-0455CF22AB4C}">
  <sheetPr>
    <tabColor theme="9" tint="0.39997558519241921"/>
    <pageSetUpPr autoPageBreaks="0"/>
  </sheetPr>
  <dimension ref="A1:AB51"/>
  <sheetViews>
    <sheetView showGridLines="0" showRowColHeaders="0" zoomScaleNormal="100" workbookViewId="0">
      <pane ySplit="3" topLeftCell="A4" activePane="bottomLeft" state="frozen"/>
      <selection activeCell="F4" sqref="F4:F46"/>
      <selection pane="bottomLeft" activeCell="A4" sqref="A4"/>
    </sheetView>
  </sheetViews>
  <sheetFormatPr baseColWidth="10" defaultColWidth="9.77734375" defaultRowHeight="12.75"/>
  <cols>
    <col min="1" max="1" width="0.77734375" style="12" customWidth="1"/>
    <col min="2" max="2" width="7.6640625" style="30" customWidth="1"/>
    <col min="3" max="3" width="21.6640625" style="24" customWidth="1"/>
    <col min="4" max="4" width="7.6640625" style="24" customWidth="1"/>
    <col min="5" max="5" width="6.6640625" style="25" customWidth="1"/>
    <col min="6" max="6" width="9.6640625" style="26" customWidth="1"/>
    <col min="7" max="7" width="9.6640625" style="27" customWidth="1"/>
    <col min="8" max="8" width="2.6640625" style="28" customWidth="1"/>
    <col min="9" max="9" width="6.6640625" style="29" customWidth="1"/>
    <col min="10" max="10" width="9.6640625" style="27" customWidth="1"/>
    <col min="11" max="11" width="2.5546875" style="27" hidden="1" customWidth="1"/>
    <col min="12" max="12" width="1.5546875" style="32" hidden="1" customWidth="1"/>
    <col min="13" max="13" width="0.77734375" style="13" customWidth="1"/>
    <col min="14" max="14" width="1.77734375" style="147" customWidth="1"/>
    <col min="15" max="26" width="8.77734375" style="13" customWidth="1"/>
    <col min="27" max="27" width="10.33203125" style="13" customWidth="1"/>
    <col min="28" max="28" width="8.33203125" style="13" customWidth="1"/>
    <col min="29" max="16384" width="9.77734375" style="13"/>
  </cols>
  <sheetData>
    <row r="1" spans="1:28" s="37" customFormat="1" ht="3" customHeight="1" thickBot="1">
      <c r="A1" s="36"/>
      <c r="B1" s="53" t="str">
        <f>+B48</f>
        <v>ü</v>
      </c>
      <c r="C1" s="54">
        <f>+C49</f>
        <v>0</v>
      </c>
      <c r="D1" s="54"/>
      <c r="E1" s="53">
        <f>+E49</f>
        <v>0</v>
      </c>
      <c r="F1" s="53"/>
      <c r="G1" s="54">
        <f>+G49</f>
        <v>0</v>
      </c>
      <c r="H1" s="53"/>
      <c r="I1" s="338" t="str">
        <f>+EÜR!J66</f>
        <v>-</v>
      </c>
      <c r="J1" s="54">
        <f>+J48</f>
        <v>0</v>
      </c>
      <c r="K1" s="198"/>
      <c r="L1" s="56"/>
      <c r="N1" s="190"/>
    </row>
    <row r="2" spans="1:28" ht="23.1" customHeight="1" thickTop="1" thickBot="1">
      <c r="A2" s="36"/>
      <c r="B2" s="296" t="str">
        <f>+EÜR!D25</f>
        <v>A04</v>
      </c>
      <c r="C2" s="1290" t="str">
        <f>+EÜR!F25</f>
        <v>Aufwendungen für GWG</v>
      </c>
      <c r="D2" s="1291"/>
      <c r="E2" s="1291"/>
      <c r="F2" s="1291"/>
      <c r="G2" s="1291"/>
      <c r="H2" s="1291"/>
      <c r="I2" s="1292"/>
      <c r="J2" s="1227" t="s">
        <v>8</v>
      </c>
      <c r="K2" s="1228"/>
      <c r="L2" s="1229"/>
      <c r="M2" s="134"/>
      <c r="N2" s="190">
        <f>IF(OR(B48="x",N3=1),0,1)</f>
        <v>1</v>
      </c>
      <c r="O2" s="188">
        <f>+EOMONTH(EÜR!$I$3,-1)+1</f>
        <v>46023</v>
      </c>
      <c r="P2" s="188">
        <f t="shared" ref="P2:Z2" si="0">+O3+1</f>
        <v>46054</v>
      </c>
      <c r="Q2" s="188">
        <f t="shared" si="0"/>
        <v>46082</v>
      </c>
      <c r="R2" s="188">
        <f t="shared" si="0"/>
        <v>46113</v>
      </c>
      <c r="S2" s="188">
        <f t="shared" si="0"/>
        <v>46143</v>
      </c>
      <c r="T2" s="188">
        <f t="shared" si="0"/>
        <v>46174</v>
      </c>
      <c r="U2" s="188">
        <f t="shared" si="0"/>
        <v>46204</v>
      </c>
      <c r="V2" s="188">
        <f t="shared" si="0"/>
        <v>46235</v>
      </c>
      <c r="W2" s="188">
        <f t="shared" si="0"/>
        <v>46266</v>
      </c>
      <c r="X2" s="188">
        <f t="shared" si="0"/>
        <v>46296</v>
      </c>
      <c r="Y2" s="188">
        <f t="shared" si="0"/>
        <v>46327</v>
      </c>
      <c r="Z2" s="188">
        <f t="shared" si="0"/>
        <v>46357</v>
      </c>
      <c r="AA2" s="48"/>
    </row>
    <row r="3" spans="1:28" ht="14.25" customHeight="1" thickTop="1">
      <c r="A3" s="36" t="s">
        <v>5</v>
      </c>
      <c r="B3" s="58" t="s">
        <v>1</v>
      </c>
      <c r="C3" s="59" t="s">
        <v>6</v>
      </c>
      <c r="D3" s="60"/>
      <c r="E3" s="310" t="s">
        <v>7</v>
      </c>
      <c r="F3" s="61" t="s">
        <v>4</v>
      </c>
      <c r="G3" s="62" t="s">
        <v>31</v>
      </c>
      <c r="H3" s="63" t="s">
        <v>33</v>
      </c>
      <c r="I3" s="64" t="s">
        <v>32</v>
      </c>
      <c r="J3" s="275" t="s">
        <v>34</v>
      </c>
      <c r="K3" s="199">
        <v>0</v>
      </c>
      <c r="L3" s="65" t="s">
        <v>5</v>
      </c>
      <c r="M3" s="135" t="s">
        <v>5</v>
      </c>
      <c r="N3" s="222">
        <f>IF(SUBTOTAL(109,K3:K47)&lt;&gt;SUM(K3:K47),1,0)</f>
        <v>0</v>
      </c>
      <c r="O3" s="189">
        <f>EOMONTH(O2,0)</f>
        <v>46053</v>
      </c>
      <c r="P3" s="189">
        <f t="shared" ref="P3:Z3" si="1">EOMONTH(P2,0)</f>
        <v>46081</v>
      </c>
      <c r="Q3" s="189">
        <f t="shared" si="1"/>
        <v>46112</v>
      </c>
      <c r="R3" s="189">
        <f t="shared" si="1"/>
        <v>46142</v>
      </c>
      <c r="S3" s="189">
        <f t="shared" si="1"/>
        <v>46173</v>
      </c>
      <c r="T3" s="189">
        <f t="shared" si="1"/>
        <v>46203</v>
      </c>
      <c r="U3" s="189">
        <f t="shared" si="1"/>
        <v>46234</v>
      </c>
      <c r="V3" s="189">
        <f t="shared" si="1"/>
        <v>46265</v>
      </c>
      <c r="W3" s="189">
        <f t="shared" si="1"/>
        <v>46295</v>
      </c>
      <c r="X3" s="189">
        <f t="shared" si="1"/>
        <v>46326</v>
      </c>
      <c r="Y3" s="189">
        <f t="shared" si="1"/>
        <v>46356</v>
      </c>
      <c r="Z3" s="189">
        <f t="shared" si="1"/>
        <v>46387</v>
      </c>
      <c r="AB3" s="14"/>
    </row>
    <row r="4" spans="1:28" ht="13.35" customHeight="1">
      <c r="A4" s="50" t="s">
        <v>5</v>
      </c>
      <c r="B4" s="141"/>
      <c r="C4" s="80"/>
      <c r="D4" s="93"/>
      <c r="E4" s="226"/>
      <c r="F4" s="89"/>
      <c r="G4" s="81"/>
      <c r="H4" s="82"/>
      <c r="I4" s="83" t="str">
        <f t="shared" ref="I4:I44" si="2">IF(G4&lt;&gt;"",+G4-G4/(1+H4/100),"")</f>
        <v/>
      </c>
      <c r="J4" s="361" t="str">
        <f t="shared" ref="J4:J44" si="3">IF(G4&lt;&gt;0,+G4-I4,"")</f>
        <v/>
      </c>
      <c r="K4" s="200">
        <v>1</v>
      </c>
      <c r="L4" s="133">
        <f>IF(B4&lt;$O$2,0,IF(B4&lt;$P$2,1,IF(B4&lt;$Q$2,2,IF(B4&lt;$R$2,3,IF(B4&lt;$S$2,4,IF(B4&lt;$T$2,5,IF(B4&lt;$U$2,6,IF(B4&lt;$V$2,7,IF(B4&lt;$W$2,8,IF(B4&lt;$X$2,9,IF(B4&lt;$Y$2,10,IF(B4&lt;$Z$2,11,IF(B4&lt;=$Z$3,12,0)))))))))))))</f>
        <v>0</v>
      </c>
      <c r="M4" s="135" t="s">
        <v>5</v>
      </c>
      <c r="N4" s="190">
        <f>+N10+AA12+AA16</f>
        <v>0</v>
      </c>
      <c r="O4" s="251" t="s">
        <v>36</v>
      </c>
      <c r="P4" s="251" t="s">
        <v>37</v>
      </c>
      <c r="Q4" s="251" t="s">
        <v>38</v>
      </c>
      <c r="R4" s="251" t="s">
        <v>39</v>
      </c>
      <c r="S4" s="251" t="s">
        <v>40</v>
      </c>
      <c r="T4" s="251" t="s">
        <v>41</v>
      </c>
      <c r="U4" s="251" t="s">
        <v>42</v>
      </c>
      <c r="V4" s="251" t="s">
        <v>43</v>
      </c>
      <c r="W4" s="251" t="s">
        <v>44</v>
      </c>
      <c r="X4" s="251" t="s">
        <v>45</v>
      </c>
      <c r="Y4" s="251" t="s">
        <v>46</v>
      </c>
      <c r="Z4" s="251" t="s">
        <v>47</v>
      </c>
      <c r="AA4" s="1209" t="s">
        <v>255</v>
      </c>
      <c r="AB4" s="1210"/>
    </row>
    <row r="5" spans="1:28" ht="13.35" customHeight="1">
      <c r="A5" s="50" t="s">
        <v>5</v>
      </c>
      <c r="B5" s="141"/>
      <c r="C5" s="80"/>
      <c r="D5" s="93"/>
      <c r="E5" s="226"/>
      <c r="F5" s="89"/>
      <c r="G5" s="81"/>
      <c r="H5" s="82"/>
      <c r="I5" s="83" t="str">
        <f t="shared" si="2"/>
        <v/>
      </c>
      <c r="J5" s="361" t="str">
        <f t="shared" si="3"/>
        <v/>
      </c>
      <c r="K5" s="200">
        <v>2</v>
      </c>
      <c r="L5" s="133">
        <f t="shared" ref="L5:L44" si="4">IF(B5&lt;$O$2,0,IF(B5&lt;$P$2,1,IF(B5&lt;$Q$2,2,IF(B5&lt;$R$2,3,IF(B5&lt;$S$2,4,IF(B5&lt;$T$2,5,IF(B5&lt;$U$2,6,IF(B5&lt;$V$2,7,IF(B5&lt;$W$2,8,IF(B5&lt;$X$2,9,IF(B5&lt;$Y$2,10,IF(B5&lt;$Z$2,11,IF(B5&lt;=$Z$3,12,0)))))))))))))</f>
        <v>0</v>
      </c>
      <c r="M5" s="135" t="s">
        <v>5</v>
      </c>
      <c r="O5" s="252">
        <f>SUMIFS($G$3:$G$47,$L$3:$L$47,1,$F$3:$F$47,"Konto")</f>
        <v>0</v>
      </c>
      <c r="P5" s="252">
        <f>SUMIFS($G$3:$G$47,$L$3:$L$47,2,$F$3:$F$47,"Konto")</f>
        <v>0</v>
      </c>
      <c r="Q5" s="252">
        <f>SUMIFS($G$3:$G$47,$L$3:$L$47,3,$F$3:$F$47,"Konto")</f>
        <v>0</v>
      </c>
      <c r="R5" s="252">
        <f>SUMIFS($G$3:$G$47,$L$3:$L$47,4,$F$3:$F$47,"Konto")</f>
        <v>0</v>
      </c>
      <c r="S5" s="252">
        <f>SUMIFS($G$3:$G$47,$L$3:$L$47,5,$F$3:$F$47,"Konto")</f>
        <v>0</v>
      </c>
      <c r="T5" s="252">
        <f>SUMIFS($G$3:$G$47,$L$3:$L$47,6,$F$3:$F$47,"Konto")</f>
        <v>0</v>
      </c>
      <c r="U5" s="252">
        <f>SUMIFS($G$3:$G$47,$L$3:$L$47,7,$F$3:$F$47,"Konto")</f>
        <v>0</v>
      </c>
      <c r="V5" s="252">
        <f>SUMIFS($G$3:$G$47,$L$3:$L$47,8,$F$3:$F$47,"Konto")</f>
        <v>0</v>
      </c>
      <c r="W5" s="252">
        <f>SUMIFS($G$3:$G$47,$L$3:$L$47,9,$F$3:$F$47,"Konto")</f>
        <v>0</v>
      </c>
      <c r="X5" s="252">
        <f>SUMIFS($G$3:$G$47,$L$3:$L$47,10,$F$3:$F$47,"Konto")</f>
        <v>0</v>
      </c>
      <c r="Y5" s="252">
        <f>SUMIFS($G$3:$G$47,$L$3:$L$47,11,$F$3:$F$47,"Konto")</f>
        <v>0</v>
      </c>
      <c r="Z5" s="252">
        <f>SUMIFS($G$3:$G$47,$L$3:$L$47,12,$F$3:$F$47,"Konto")</f>
        <v>0</v>
      </c>
      <c r="AA5" s="253">
        <f>SUM(O5:Z5)</f>
        <v>0</v>
      </c>
      <c r="AB5" s="254" t="s">
        <v>140</v>
      </c>
    </row>
    <row r="6" spans="1:28" ht="13.35" customHeight="1">
      <c r="A6" s="50" t="s">
        <v>5</v>
      </c>
      <c r="B6" s="141"/>
      <c r="C6" s="80"/>
      <c r="D6" s="93"/>
      <c r="E6" s="226"/>
      <c r="F6" s="89"/>
      <c r="G6" s="81"/>
      <c r="H6" s="82"/>
      <c r="I6" s="83" t="str">
        <f t="shared" si="2"/>
        <v/>
      </c>
      <c r="J6" s="361" t="str">
        <f t="shared" si="3"/>
        <v/>
      </c>
      <c r="K6" s="200">
        <v>3</v>
      </c>
      <c r="L6" s="133">
        <f t="shared" si="4"/>
        <v>0</v>
      </c>
      <c r="M6" s="135" t="s">
        <v>5</v>
      </c>
      <c r="N6" s="190"/>
      <c r="O6" s="252">
        <f>SUMIFS($G$3:$G$47,$L$3:$L$47,1,$F$3:$F$47,"Kreditkarte")</f>
        <v>0</v>
      </c>
      <c r="P6" s="252">
        <f>SUMIFS($G$3:$G$47,$L$3:$L$47,2,$F$3:$F$47,"Kreditkarte")</f>
        <v>0</v>
      </c>
      <c r="Q6" s="252">
        <f>SUMIFS($G$3:$G$47,$L$3:$L$47,3,$F$3:$F$47,"Kreditkarte")</f>
        <v>0</v>
      </c>
      <c r="R6" s="252">
        <f>SUMIFS($G$3:$G$47,$L$3:$L$47,4,$F$3:$F$47,"Kreditkarte")</f>
        <v>0</v>
      </c>
      <c r="S6" s="252">
        <f>SUMIFS($G$3:$G$47,$L$3:$L$47,5,$F$3:$F$47,"Kreditkarte")</f>
        <v>0</v>
      </c>
      <c r="T6" s="252">
        <f>SUMIFS($G$3:$G$47,$L$3:$L$47,6,$F$3:$F$47,"Kreditkarte")</f>
        <v>0</v>
      </c>
      <c r="U6" s="252">
        <f>SUMIFS($G$3:$G$47,$L$3:$L$47,7,$F$3:$F$47,"Kreditkarte")</f>
        <v>0</v>
      </c>
      <c r="V6" s="252">
        <f>SUMIFS($G$3:$G$47,$L$3:$L$47,8,$F$3:$F$47,"Kreditkarte")</f>
        <v>0</v>
      </c>
      <c r="W6" s="252">
        <f>SUMIFS($G$3:$G$47,$L$3:$L$47,9,$F$3:$F$47,"Kreditkarte")</f>
        <v>0</v>
      </c>
      <c r="X6" s="252">
        <f>SUMIFS($G$3:$G$47,$L$3:$L$47,10,$F$3:$F$47,"Kreditkarte")</f>
        <v>0</v>
      </c>
      <c r="Y6" s="252">
        <f>SUMIFS($G$3:$G$47,$L$3:$L$47,11,$F$3:$F$47,"Kreditkarte")</f>
        <v>0</v>
      </c>
      <c r="Z6" s="252">
        <f>SUMIFS($G$3:$G$47,$L$3:$L$47,12,$F$3:$F$47,"Kreditkarte")</f>
        <v>0</v>
      </c>
      <c r="AA6" s="255">
        <f t="shared" ref="AA6:AA8" si="5">SUM(O6:Z6)</f>
        <v>0</v>
      </c>
      <c r="AB6" s="256" t="s">
        <v>142</v>
      </c>
    </row>
    <row r="7" spans="1:28" ht="13.35" customHeight="1">
      <c r="A7" s="50" t="s">
        <v>5</v>
      </c>
      <c r="B7" s="141"/>
      <c r="C7" s="80"/>
      <c r="D7" s="93"/>
      <c r="E7" s="226"/>
      <c r="F7" s="89"/>
      <c r="G7" s="81"/>
      <c r="H7" s="82"/>
      <c r="I7" s="83" t="str">
        <f t="shared" si="2"/>
        <v/>
      </c>
      <c r="J7" s="361" t="str">
        <f t="shared" si="3"/>
        <v/>
      </c>
      <c r="K7" s="200">
        <v>4</v>
      </c>
      <c r="L7" s="133">
        <f t="shared" si="4"/>
        <v>0</v>
      </c>
      <c r="M7" s="135" t="s">
        <v>5</v>
      </c>
      <c r="O7" s="252">
        <f>SUMIFS($G$3:$G$47,$L$3:$L$47,1,$F$3:$F$47,"Geldbeutel")</f>
        <v>0</v>
      </c>
      <c r="P7" s="252">
        <f>SUMIFS($G$3:$G$47,$L$3:$L$47,2,$F$3:$F$47,"Geldbeutel")</f>
        <v>0</v>
      </c>
      <c r="Q7" s="252">
        <f>SUMIFS($G$3:$G$47,$L$3:$L$47,3,$F$3:$F$47,"Geldbeutel")</f>
        <v>0</v>
      </c>
      <c r="R7" s="252">
        <f>SUMIFS($G$3:$G$47,$L$3:$L$47,4,$F$3:$F$47,"Geldbeutel")</f>
        <v>0</v>
      </c>
      <c r="S7" s="252">
        <f>SUMIFS($G$3:$G$47,$L$3:$L$47,5,$F$3:$F$47,"Geldbeutel")</f>
        <v>0</v>
      </c>
      <c r="T7" s="252">
        <f>SUMIFS($G$3:$G$47,$L$3:$L$47,6,$F$3:$F$47,"Geldbeutel")</f>
        <v>0</v>
      </c>
      <c r="U7" s="252">
        <f>SUMIFS($G$3:$G$47,$L$3:$L$47,7,$F$3:$F$47,"Geldbeutel")</f>
        <v>0</v>
      </c>
      <c r="V7" s="252">
        <f>SUMIFS($G$3:$G$47,$L$3:$L$47,8,$F$3:$F$47,"Geldbeutel")</f>
        <v>0</v>
      </c>
      <c r="W7" s="252">
        <f>SUMIFS($G$3:$G$47,$L$3:$L$47,9,$F$3:$F$47,"Geldbeutel")</f>
        <v>0</v>
      </c>
      <c r="X7" s="252">
        <f>SUMIFS($G$3:$G$47,$L$3:$L$47,10,$F$3:$F$47,"Geldbeutel")</f>
        <v>0</v>
      </c>
      <c r="Y7" s="252">
        <f>SUMIFS($G$3:$G$47,$L$3:$L$47,11,$F$3:$F$47,"Geldbeutel")</f>
        <v>0</v>
      </c>
      <c r="Z7" s="252">
        <f>SUMIFS($G$3:$G$47,$L$3:$L$47,12,$F$3:$F$47,"Geldbeutel")</f>
        <v>0</v>
      </c>
      <c r="AA7" s="253">
        <f t="shared" si="5"/>
        <v>0</v>
      </c>
      <c r="AB7" s="254" t="s">
        <v>139</v>
      </c>
    </row>
    <row r="8" spans="1:28" ht="13.35" customHeight="1">
      <c r="A8" s="50" t="s">
        <v>5</v>
      </c>
      <c r="B8" s="141"/>
      <c r="C8" s="80"/>
      <c r="D8" s="93"/>
      <c r="E8" s="226"/>
      <c r="F8" s="89"/>
      <c r="G8" s="81"/>
      <c r="H8" s="82"/>
      <c r="I8" s="83" t="str">
        <f t="shared" si="2"/>
        <v/>
      </c>
      <c r="J8" s="361" t="str">
        <f t="shared" si="3"/>
        <v/>
      </c>
      <c r="K8" s="200">
        <v>5</v>
      </c>
      <c r="L8" s="133">
        <f t="shared" si="4"/>
        <v>0</v>
      </c>
      <c r="M8" s="135" t="s">
        <v>5</v>
      </c>
      <c r="O8" s="252">
        <f>SUMIFS($G$3:$G$47,$L$3:$L$47,1,$F$3:$F$47,"X")</f>
        <v>0</v>
      </c>
      <c r="P8" s="252">
        <f>SUMIFS($G$3:$G$47,$L$3:$L$47,2,$F$3:$F$47,"X")</f>
        <v>0</v>
      </c>
      <c r="Q8" s="252">
        <f>SUMIFS($G$3:$G$47,$L$3:$L$47,3,$F$3:$F$47,"X")</f>
        <v>0</v>
      </c>
      <c r="R8" s="252">
        <f>SUMIFS($G$3:$G$47,$L$3:$L$47,4,$F$3:$F$47,"X")</f>
        <v>0</v>
      </c>
      <c r="S8" s="252">
        <f>SUMIFS($G$3:$G$47,$L$3:$L$47,5,$F$3:$F$47,"X")</f>
        <v>0</v>
      </c>
      <c r="T8" s="252">
        <f>SUMIFS($G$3:$G$47,$L$3:$L$47,6,$F$3:$F$47,"X")</f>
        <v>0</v>
      </c>
      <c r="U8" s="252">
        <f>SUMIFS($G$3:$G$47,$L$3:$L$47,7,$F$3:$F$47,"X")</f>
        <v>0</v>
      </c>
      <c r="V8" s="252">
        <f>SUMIFS($G$3:$G$47,$L$3:$L$47,8,$F$3:$F$47,"X")</f>
        <v>0</v>
      </c>
      <c r="W8" s="252">
        <f>SUMIFS($G$3:$G$47,$L$3:$L$47,9,$F$3:$F$47,"X")</f>
        <v>0</v>
      </c>
      <c r="X8" s="252">
        <f>SUMIFS($G$3:$G$47,$L$3:$L$47,10,$F$3:$F$47,"X")</f>
        <v>0</v>
      </c>
      <c r="Y8" s="252">
        <f>SUMIFS($G$3:$G$47,$L$3:$L$47,11,$F$3:$F$47,"X")</f>
        <v>0</v>
      </c>
      <c r="Z8" s="252">
        <f>SUMIFS($G$3:$G$47,$L$3:$L$47,12,$F$3:$F$47,"X")</f>
        <v>0</v>
      </c>
      <c r="AA8" s="255">
        <f t="shared" si="5"/>
        <v>0</v>
      </c>
      <c r="AB8" s="256" t="s">
        <v>192</v>
      </c>
    </row>
    <row r="9" spans="1:28" ht="13.35" customHeight="1">
      <c r="A9" s="50" t="s">
        <v>5</v>
      </c>
      <c r="B9" s="141"/>
      <c r="C9" s="80"/>
      <c r="D9" s="93"/>
      <c r="E9" s="226"/>
      <c r="F9" s="89"/>
      <c r="G9" s="81"/>
      <c r="H9" s="82"/>
      <c r="I9" s="83" t="str">
        <f t="shared" si="2"/>
        <v/>
      </c>
      <c r="J9" s="361" t="str">
        <f t="shared" si="3"/>
        <v/>
      </c>
      <c r="K9" s="200">
        <v>6</v>
      </c>
      <c r="L9" s="133">
        <f t="shared" si="4"/>
        <v>0</v>
      </c>
      <c r="M9" s="135" t="s">
        <v>5</v>
      </c>
      <c r="N9" s="191">
        <f>IF(OR(AND(AA14&lt;&gt;0,B48="x"),(O14+AA13)&lt;&gt;H48),1,0)</f>
        <v>0</v>
      </c>
      <c r="O9" s="257">
        <f>SUM(O5:O8)</f>
        <v>0</v>
      </c>
      <c r="P9" s="257">
        <f t="shared" ref="P9:Z9" si="6">SUM(P5:P8)</f>
        <v>0</v>
      </c>
      <c r="Q9" s="257">
        <f t="shared" si="6"/>
        <v>0</v>
      </c>
      <c r="R9" s="257">
        <f t="shared" si="6"/>
        <v>0</v>
      </c>
      <c r="S9" s="257">
        <f t="shared" si="6"/>
        <v>0</v>
      </c>
      <c r="T9" s="257">
        <f t="shared" si="6"/>
        <v>0</v>
      </c>
      <c r="U9" s="257">
        <f t="shared" si="6"/>
        <v>0</v>
      </c>
      <c r="V9" s="257">
        <f t="shared" si="6"/>
        <v>0</v>
      </c>
      <c r="W9" s="257">
        <f t="shared" si="6"/>
        <v>0</v>
      </c>
      <c r="X9" s="257">
        <f t="shared" si="6"/>
        <v>0</v>
      </c>
      <c r="Y9" s="257">
        <f t="shared" si="6"/>
        <v>0</v>
      </c>
      <c r="Z9" s="257">
        <f t="shared" si="6"/>
        <v>0</v>
      </c>
      <c r="AA9" s="1211" t="s">
        <v>197</v>
      </c>
      <c r="AB9" s="1212"/>
    </row>
    <row r="10" spans="1:28" ht="13.35" customHeight="1">
      <c r="A10" s="50" t="s">
        <v>5</v>
      </c>
      <c r="B10" s="141"/>
      <c r="C10" s="80"/>
      <c r="D10" s="93"/>
      <c r="E10" s="226"/>
      <c r="F10" s="89"/>
      <c r="G10" s="81"/>
      <c r="H10" s="82"/>
      <c r="I10" s="83" t="str">
        <f t="shared" si="2"/>
        <v/>
      </c>
      <c r="J10" s="361" t="str">
        <f t="shared" si="3"/>
        <v/>
      </c>
      <c r="K10" s="200">
        <v>7</v>
      </c>
      <c r="L10" s="133">
        <f t="shared" si="4"/>
        <v>0</v>
      </c>
      <c r="M10" s="135" t="s">
        <v>5</v>
      </c>
      <c r="N10" s="259">
        <f>IF(O10+AA10&lt;&gt;G48,1,0)</f>
        <v>0</v>
      </c>
      <c r="O10" s="1230">
        <f>SUM(O5:Z8)</f>
        <v>0</v>
      </c>
      <c r="P10" s="1231"/>
      <c r="Q10" s="1231"/>
      <c r="R10" s="1231"/>
      <c r="S10" s="1231"/>
      <c r="T10" s="1231"/>
      <c r="U10" s="1231"/>
      <c r="V10" s="1231"/>
      <c r="W10" s="1231"/>
      <c r="X10" s="1231"/>
      <c r="Y10" s="1231"/>
      <c r="Z10" s="1232"/>
      <c r="AA10" s="292">
        <f>+G48-AA7-AA6-AA5-AA8</f>
        <v>0</v>
      </c>
      <c r="AB10" s="293" t="s">
        <v>205</v>
      </c>
    </row>
    <row r="11" spans="1:28" ht="13.35" customHeight="1">
      <c r="A11" s="50" t="s">
        <v>5</v>
      </c>
      <c r="B11" s="141"/>
      <c r="C11" s="80"/>
      <c r="D11" s="93"/>
      <c r="E11" s="226"/>
      <c r="F11" s="89"/>
      <c r="G11" s="81"/>
      <c r="H11" s="82"/>
      <c r="I11" s="83" t="str">
        <f t="shared" si="2"/>
        <v/>
      </c>
      <c r="J11" s="361" t="str">
        <f t="shared" si="3"/>
        <v/>
      </c>
      <c r="K11" s="200">
        <v>8</v>
      </c>
      <c r="L11" s="133">
        <f t="shared" si="4"/>
        <v>0</v>
      </c>
      <c r="M11" s="135" t="s">
        <v>5</v>
      </c>
      <c r="O11" s="1219" t="str">
        <f>IF(N4&gt;0,"Fehler!","")</f>
        <v/>
      </c>
      <c r="P11" s="1219"/>
      <c r="Q11" s="1219"/>
      <c r="R11" s="1219"/>
      <c r="S11" s="1219"/>
      <c r="T11" s="1219"/>
      <c r="U11" s="1219"/>
      <c r="V11" s="1219"/>
      <c r="W11" s="1219"/>
      <c r="X11" s="1219"/>
      <c r="Y11" s="1219"/>
      <c r="Z11" s="1219"/>
    </row>
    <row r="12" spans="1:28" ht="13.35" customHeight="1">
      <c r="A12" s="50" t="s">
        <v>5</v>
      </c>
      <c r="B12" s="141"/>
      <c r="C12" s="80"/>
      <c r="D12" s="93"/>
      <c r="E12" s="226"/>
      <c r="F12" s="89"/>
      <c r="G12" s="81"/>
      <c r="H12" s="82"/>
      <c r="I12" s="83" t="str">
        <f t="shared" si="2"/>
        <v/>
      </c>
      <c r="J12" s="361" t="str">
        <f t="shared" si="3"/>
        <v/>
      </c>
      <c r="K12" s="200">
        <v>9</v>
      </c>
      <c r="L12" s="133">
        <f t="shared" si="4"/>
        <v>0</v>
      </c>
      <c r="M12" s="135" t="s">
        <v>5</v>
      </c>
      <c r="O12" s="203" t="s">
        <v>36</v>
      </c>
      <c r="P12" s="203" t="s">
        <v>37</v>
      </c>
      <c r="Q12" s="203" t="s">
        <v>38</v>
      </c>
      <c r="R12" s="203" t="s">
        <v>39</v>
      </c>
      <c r="S12" s="203" t="s">
        <v>40</v>
      </c>
      <c r="T12" s="203" t="s">
        <v>41</v>
      </c>
      <c r="U12" s="203" t="s">
        <v>42</v>
      </c>
      <c r="V12" s="203" t="s">
        <v>43</v>
      </c>
      <c r="W12" s="203" t="s">
        <v>44</v>
      </c>
      <c r="X12" s="203" t="s">
        <v>45</v>
      </c>
      <c r="Y12" s="203" t="s">
        <v>46</v>
      </c>
      <c r="Z12" s="203" t="s">
        <v>47</v>
      </c>
      <c r="AA12" s="221">
        <f>IF(O14+AA13&lt;&gt;H48,1,0)</f>
        <v>0</v>
      </c>
    </row>
    <row r="13" spans="1:28" ht="13.35" customHeight="1">
      <c r="A13" s="50" t="s">
        <v>5</v>
      </c>
      <c r="B13" s="141"/>
      <c r="C13" s="80"/>
      <c r="D13" s="93"/>
      <c r="E13" s="226"/>
      <c r="F13" s="89"/>
      <c r="G13" s="81"/>
      <c r="H13" s="82"/>
      <c r="I13" s="83" t="str">
        <f t="shared" si="2"/>
        <v/>
      </c>
      <c r="J13" s="361" t="str">
        <f t="shared" si="3"/>
        <v/>
      </c>
      <c r="K13" s="200">
        <v>10</v>
      </c>
      <c r="L13" s="133">
        <f t="shared" si="4"/>
        <v>0</v>
      </c>
      <c r="M13" s="135" t="s">
        <v>5</v>
      </c>
      <c r="O13" s="187">
        <f>SUMIF($L$3:$L$47,1,$I$3:$I$47)</f>
        <v>0</v>
      </c>
      <c r="P13" s="187">
        <f>SUMIF($L$3:$L$47,2,$I$3:$I$47)</f>
        <v>0</v>
      </c>
      <c r="Q13" s="187">
        <f>SUMIF($L$3:$L$47,3,$I$3:$I$47)</f>
        <v>0</v>
      </c>
      <c r="R13" s="187">
        <f>SUMIF($L$3:$L$47,4,$I$3:$I$47)</f>
        <v>0</v>
      </c>
      <c r="S13" s="187">
        <f>SUMIF($L$3:$L$47,5,$I$3:$I$47)</f>
        <v>0</v>
      </c>
      <c r="T13" s="187">
        <f>SUMIF($L$3:$L$47,6,$I$3:$I$47)</f>
        <v>0</v>
      </c>
      <c r="U13" s="187">
        <f>SUMIF($L$3:$L$47,7,$I$3:$I$47)</f>
        <v>0</v>
      </c>
      <c r="V13" s="187">
        <f>SUMIF($L$3:$L$47,8,$I$3:$I$47)</f>
        <v>0</v>
      </c>
      <c r="W13" s="187">
        <f>SUMIF($L$3:$L$47,9,$I$3:$I$47)</f>
        <v>0</v>
      </c>
      <c r="X13" s="187">
        <f>SUMIF($L$3:$L$47,10,$I$3:$I$47)</f>
        <v>0</v>
      </c>
      <c r="Y13" s="187">
        <f>SUMIF($L$3:$L$47,11,$I$3:$I$47)</f>
        <v>0</v>
      </c>
      <c r="Z13" s="187">
        <f>SUMIF($L$3:$L$47,12,$I$3:$I$47)</f>
        <v>0</v>
      </c>
      <c r="AA13" s="1220">
        <f>SUMIF($L$3:$L$47,0,$I$3:$I$47)</f>
        <v>0</v>
      </c>
      <c r="AB13" s="1221"/>
    </row>
    <row r="14" spans="1:28" ht="13.35" customHeight="1">
      <c r="A14" s="50" t="s">
        <v>5</v>
      </c>
      <c r="B14" s="141"/>
      <c r="C14" s="80"/>
      <c r="D14" s="93"/>
      <c r="E14" s="226"/>
      <c r="F14" s="89"/>
      <c r="G14" s="81"/>
      <c r="H14" s="82"/>
      <c r="I14" s="83" t="str">
        <f t="shared" si="2"/>
        <v/>
      </c>
      <c r="J14" s="361" t="str">
        <f t="shared" si="3"/>
        <v/>
      </c>
      <c r="K14" s="200">
        <v>11</v>
      </c>
      <c r="L14" s="133">
        <f t="shared" si="4"/>
        <v>0</v>
      </c>
      <c r="M14" s="135" t="s">
        <v>5</v>
      </c>
      <c r="O14" s="1299">
        <f>SUM(O13:Z13)</f>
        <v>0</v>
      </c>
      <c r="P14" s="1300"/>
      <c r="Q14" s="1300"/>
      <c r="R14" s="1300"/>
      <c r="S14" s="1300"/>
      <c r="T14" s="1300"/>
      <c r="U14" s="1300"/>
      <c r="V14" s="1300"/>
      <c r="W14" s="1300"/>
      <c r="X14" s="1300"/>
      <c r="Y14" s="1300"/>
      <c r="Z14" s="1301"/>
      <c r="AA14" s="1222">
        <f>SUM(O13:Z13)+AA13</f>
        <v>0</v>
      </c>
      <c r="AB14" s="1223"/>
    </row>
    <row r="15" spans="1:28" ht="13.35" customHeight="1">
      <c r="A15" s="50" t="s">
        <v>5</v>
      </c>
      <c r="B15" s="141"/>
      <c r="C15" s="260"/>
      <c r="D15" s="93"/>
      <c r="E15" s="226"/>
      <c r="F15" s="89"/>
      <c r="G15" s="81"/>
      <c r="H15" s="82"/>
      <c r="I15" s="83" t="str">
        <f t="shared" si="2"/>
        <v/>
      </c>
      <c r="J15" s="361" t="str">
        <f t="shared" si="3"/>
        <v/>
      </c>
      <c r="K15" s="200">
        <v>12</v>
      </c>
      <c r="L15" s="133">
        <f t="shared" si="4"/>
        <v>0</v>
      </c>
      <c r="M15" s="135" t="s">
        <v>5</v>
      </c>
      <c r="O15" s="244"/>
      <c r="P15" s="244"/>
      <c r="Q15" s="244"/>
      <c r="R15" s="244"/>
      <c r="S15" s="244"/>
      <c r="T15" s="244"/>
      <c r="U15" s="244"/>
      <c r="V15" s="244"/>
      <c r="W15" s="244"/>
      <c r="X15" s="244"/>
      <c r="Y15" s="244"/>
      <c r="Z15" s="244"/>
      <c r="AA15" s="244"/>
      <c r="AB15" s="244"/>
    </row>
    <row r="16" spans="1:28" ht="13.35" customHeight="1">
      <c r="A16" s="50" t="s">
        <v>5</v>
      </c>
      <c r="B16" s="141"/>
      <c r="C16" s="80"/>
      <c r="D16" s="93"/>
      <c r="E16" s="226"/>
      <c r="F16" s="89"/>
      <c r="G16" s="81"/>
      <c r="H16" s="82"/>
      <c r="I16" s="83" t="str">
        <f t="shared" si="2"/>
        <v/>
      </c>
      <c r="J16" s="361" t="str">
        <f t="shared" si="3"/>
        <v/>
      </c>
      <c r="K16" s="200">
        <v>13</v>
      </c>
      <c r="L16" s="133">
        <f t="shared" si="4"/>
        <v>0</v>
      </c>
      <c r="M16" s="135" t="s">
        <v>5</v>
      </c>
      <c r="O16" s="244"/>
      <c r="P16" s="244"/>
      <c r="Q16" s="244"/>
      <c r="R16" s="244"/>
      <c r="S16" s="244"/>
      <c r="T16" s="244"/>
      <c r="U16" s="244"/>
      <c r="V16" s="244"/>
      <c r="W16" s="244"/>
      <c r="X16" s="244"/>
      <c r="Y16" s="244"/>
      <c r="Z16" s="244"/>
      <c r="AA16" s="244"/>
      <c r="AB16" s="244"/>
    </row>
    <row r="17" spans="1:28" ht="13.35" customHeight="1">
      <c r="A17" s="50" t="s">
        <v>5</v>
      </c>
      <c r="B17" s="141"/>
      <c r="C17" s="80"/>
      <c r="D17" s="93"/>
      <c r="E17" s="226"/>
      <c r="F17" s="89"/>
      <c r="G17" s="81"/>
      <c r="H17" s="82"/>
      <c r="I17" s="83" t="str">
        <f t="shared" si="2"/>
        <v/>
      </c>
      <c r="J17" s="361" t="str">
        <f t="shared" si="3"/>
        <v/>
      </c>
      <c r="K17" s="200">
        <v>14</v>
      </c>
      <c r="L17" s="133">
        <f t="shared" si="4"/>
        <v>0</v>
      </c>
      <c r="M17" s="135" t="s">
        <v>5</v>
      </c>
      <c r="O17" s="244"/>
      <c r="P17" s="244"/>
      <c r="Q17" s="244"/>
      <c r="R17" s="244"/>
      <c r="S17" s="244"/>
      <c r="T17" s="244"/>
      <c r="U17" s="244"/>
      <c r="V17" s="244"/>
      <c r="W17" s="244"/>
      <c r="X17" s="244"/>
      <c r="Y17" s="244"/>
      <c r="Z17" s="244"/>
      <c r="AA17" s="244"/>
      <c r="AB17" s="244"/>
    </row>
    <row r="18" spans="1:28" ht="13.35" customHeight="1">
      <c r="A18" s="50" t="s">
        <v>5</v>
      </c>
      <c r="B18" s="141"/>
      <c r="C18" s="80"/>
      <c r="D18" s="93"/>
      <c r="E18" s="226"/>
      <c r="F18" s="89"/>
      <c r="G18" s="81"/>
      <c r="H18" s="82"/>
      <c r="I18" s="83" t="str">
        <f t="shared" si="2"/>
        <v/>
      </c>
      <c r="J18" s="361" t="str">
        <f t="shared" si="3"/>
        <v/>
      </c>
      <c r="K18" s="200">
        <v>15</v>
      </c>
      <c r="L18" s="133">
        <f t="shared" si="4"/>
        <v>0</v>
      </c>
      <c r="M18" s="135" t="s">
        <v>5</v>
      </c>
      <c r="O18" s="244"/>
      <c r="P18" s="244"/>
      <c r="Q18" s="244"/>
      <c r="R18" s="244"/>
      <c r="S18" s="244"/>
      <c r="T18" s="244"/>
      <c r="U18" s="244"/>
      <c r="V18" s="244"/>
      <c r="W18" s="244"/>
      <c r="X18" s="244"/>
      <c r="Y18" s="244"/>
      <c r="Z18" s="244"/>
      <c r="AA18" s="244"/>
      <c r="AB18" s="244"/>
    </row>
    <row r="19" spans="1:28" ht="13.35" customHeight="1">
      <c r="A19" s="50" t="s">
        <v>5</v>
      </c>
      <c r="B19" s="141"/>
      <c r="C19" s="80"/>
      <c r="D19" s="93"/>
      <c r="E19" s="226"/>
      <c r="F19" s="89"/>
      <c r="G19" s="81"/>
      <c r="H19" s="82"/>
      <c r="I19" s="83" t="str">
        <f t="shared" si="2"/>
        <v/>
      </c>
      <c r="J19" s="361" t="str">
        <f t="shared" si="3"/>
        <v/>
      </c>
      <c r="K19" s="200">
        <v>16</v>
      </c>
      <c r="L19" s="133">
        <f t="shared" si="4"/>
        <v>0</v>
      </c>
      <c r="M19" s="135" t="s">
        <v>5</v>
      </c>
      <c r="O19" s="244"/>
      <c r="P19" s="244"/>
      <c r="Q19" s="244"/>
      <c r="R19" s="244"/>
      <c r="S19" s="244"/>
      <c r="T19" s="244"/>
      <c r="U19" s="244"/>
      <c r="V19" s="244"/>
      <c r="W19" s="244"/>
      <c r="X19" s="244"/>
      <c r="Y19" s="244"/>
      <c r="Z19" s="244"/>
      <c r="AA19" s="244"/>
      <c r="AB19" s="244"/>
    </row>
    <row r="20" spans="1:28" ht="13.35" customHeight="1">
      <c r="A20" s="50" t="s">
        <v>5</v>
      </c>
      <c r="B20" s="141"/>
      <c r="C20" s="80"/>
      <c r="D20" s="93"/>
      <c r="E20" s="226"/>
      <c r="F20" s="89"/>
      <c r="G20" s="81"/>
      <c r="H20" s="82"/>
      <c r="I20" s="83" t="str">
        <f t="shared" si="2"/>
        <v/>
      </c>
      <c r="J20" s="361" t="str">
        <f t="shared" si="3"/>
        <v/>
      </c>
      <c r="K20" s="200">
        <v>17</v>
      </c>
      <c r="L20" s="133">
        <f t="shared" si="4"/>
        <v>0</v>
      </c>
      <c r="M20" s="135" t="s">
        <v>5</v>
      </c>
      <c r="O20" s="244"/>
      <c r="P20" s="244"/>
      <c r="Q20" s="244"/>
      <c r="R20" s="244"/>
      <c r="S20" s="244"/>
      <c r="T20" s="244"/>
      <c r="U20" s="244"/>
      <c r="V20" s="244"/>
      <c r="W20" s="244"/>
      <c r="X20" s="244"/>
      <c r="Y20" s="244"/>
      <c r="Z20" s="244"/>
      <c r="AA20" s="244"/>
      <c r="AB20" s="244"/>
    </row>
    <row r="21" spans="1:28" ht="13.35" customHeight="1">
      <c r="A21" s="50" t="s">
        <v>5</v>
      </c>
      <c r="B21" s="141"/>
      <c r="C21" s="80"/>
      <c r="D21" s="93"/>
      <c r="E21" s="226"/>
      <c r="F21" s="89"/>
      <c r="G21" s="81"/>
      <c r="H21" s="82"/>
      <c r="I21" s="83" t="str">
        <f t="shared" si="2"/>
        <v/>
      </c>
      <c r="J21" s="361" t="str">
        <f t="shared" si="3"/>
        <v/>
      </c>
      <c r="K21" s="200">
        <v>18</v>
      </c>
      <c r="L21" s="133">
        <f t="shared" si="4"/>
        <v>0</v>
      </c>
      <c r="M21" s="135" t="s">
        <v>5</v>
      </c>
      <c r="O21" s="244"/>
      <c r="P21" s="244"/>
      <c r="Q21" s="244"/>
      <c r="R21" s="244"/>
      <c r="S21" s="244"/>
      <c r="T21" s="244"/>
      <c r="U21" s="244"/>
      <c r="V21" s="244"/>
      <c r="W21" s="244"/>
      <c r="X21" s="244"/>
      <c r="Y21" s="244"/>
      <c r="Z21" s="244"/>
      <c r="AA21" s="244"/>
      <c r="AB21" s="244"/>
    </row>
    <row r="22" spans="1:28" ht="13.35" customHeight="1">
      <c r="A22" s="50" t="s">
        <v>5</v>
      </c>
      <c r="B22" s="141"/>
      <c r="C22" s="80"/>
      <c r="D22" s="93"/>
      <c r="E22" s="226"/>
      <c r="F22" s="89"/>
      <c r="G22" s="81"/>
      <c r="H22" s="82"/>
      <c r="I22" s="83" t="str">
        <f t="shared" si="2"/>
        <v/>
      </c>
      <c r="J22" s="361" t="str">
        <f t="shared" si="3"/>
        <v/>
      </c>
      <c r="K22" s="200">
        <v>19</v>
      </c>
      <c r="L22" s="133">
        <f t="shared" si="4"/>
        <v>0</v>
      </c>
      <c r="M22" s="135" t="s">
        <v>5</v>
      </c>
      <c r="O22" s="244"/>
      <c r="P22" s="244"/>
      <c r="Q22" s="244"/>
      <c r="R22" s="244"/>
      <c r="S22" s="244"/>
      <c r="T22" s="244"/>
      <c r="U22" s="244"/>
      <c r="V22" s="244"/>
      <c r="W22" s="244"/>
      <c r="X22" s="244"/>
      <c r="Y22" s="244"/>
      <c r="Z22" s="244"/>
      <c r="AA22" s="244"/>
      <c r="AB22" s="244"/>
    </row>
    <row r="23" spans="1:28" ht="13.35" customHeight="1">
      <c r="A23" s="50" t="s">
        <v>5</v>
      </c>
      <c r="B23" s="141"/>
      <c r="C23" s="80"/>
      <c r="D23" s="94"/>
      <c r="E23" s="226"/>
      <c r="F23" s="89"/>
      <c r="G23" s="81"/>
      <c r="H23" s="82"/>
      <c r="I23" s="83" t="str">
        <f t="shared" si="2"/>
        <v/>
      </c>
      <c r="J23" s="361" t="str">
        <f t="shared" si="3"/>
        <v/>
      </c>
      <c r="K23" s="200">
        <v>20</v>
      </c>
      <c r="L23" s="133">
        <f t="shared" si="4"/>
        <v>0</v>
      </c>
      <c r="M23" s="135" t="s">
        <v>5</v>
      </c>
      <c r="O23" s="244"/>
      <c r="P23" s="244"/>
      <c r="Q23" s="244"/>
      <c r="R23" s="244"/>
      <c r="S23" s="244"/>
      <c r="T23" s="244"/>
      <c r="U23" s="244"/>
      <c r="V23" s="244"/>
      <c r="W23" s="244"/>
      <c r="X23" s="244"/>
      <c r="Y23" s="244"/>
      <c r="Z23" s="244"/>
      <c r="AA23" s="244"/>
      <c r="AB23" s="244"/>
    </row>
    <row r="24" spans="1:28" ht="13.35" customHeight="1">
      <c r="A24" s="50" t="s">
        <v>5</v>
      </c>
      <c r="B24" s="141"/>
      <c r="C24" s="80"/>
      <c r="D24" s="93"/>
      <c r="E24" s="226"/>
      <c r="F24" s="89"/>
      <c r="G24" s="81"/>
      <c r="H24" s="82"/>
      <c r="I24" s="83" t="str">
        <f t="shared" si="2"/>
        <v/>
      </c>
      <c r="J24" s="361" t="str">
        <f t="shared" si="3"/>
        <v/>
      </c>
      <c r="K24" s="200">
        <v>21</v>
      </c>
      <c r="L24" s="133">
        <f t="shared" si="4"/>
        <v>0</v>
      </c>
      <c r="M24" s="135" t="s">
        <v>5</v>
      </c>
      <c r="O24" s="244"/>
      <c r="P24" s="244"/>
      <c r="Q24" s="244"/>
      <c r="R24" s="244"/>
      <c r="S24" s="244"/>
      <c r="T24" s="244"/>
      <c r="U24" s="244"/>
      <c r="V24" s="244"/>
      <c r="W24" s="244"/>
      <c r="X24" s="244"/>
      <c r="Y24" s="244"/>
      <c r="Z24" s="244"/>
      <c r="AA24" s="244"/>
      <c r="AB24" s="244"/>
    </row>
    <row r="25" spans="1:28" ht="13.35" customHeight="1">
      <c r="A25" s="50" t="s">
        <v>5</v>
      </c>
      <c r="B25" s="141"/>
      <c r="C25" s="80"/>
      <c r="D25" s="93"/>
      <c r="E25" s="226"/>
      <c r="F25" s="89"/>
      <c r="G25" s="81"/>
      <c r="H25" s="82"/>
      <c r="I25" s="83" t="str">
        <f t="shared" si="2"/>
        <v/>
      </c>
      <c r="J25" s="361" t="str">
        <f t="shared" si="3"/>
        <v/>
      </c>
      <c r="K25" s="200">
        <v>22</v>
      </c>
      <c r="L25" s="133">
        <f t="shared" si="4"/>
        <v>0</v>
      </c>
      <c r="M25" s="135" t="s">
        <v>5</v>
      </c>
      <c r="O25" s="244"/>
      <c r="P25" s="244"/>
      <c r="Q25" s="244"/>
      <c r="R25" s="244"/>
      <c r="S25" s="244"/>
      <c r="T25" s="244"/>
      <c r="U25" s="244"/>
      <c r="V25" s="244"/>
      <c r="W25" s="244"/>
      <c r="X25" s="244"/>
      <c r="Y25" s="244"/>
      <c r="Z25" s="244"/>
      <c r="AA25" s="244"/>
      <c r="AB25" s="244"/>
    </row>
    <row r="26" spans="1:28" ht="13.35" customHeight="1">
      <c r="A26" s="50" t="s">
        <v>5</v>
      </c>
      <c r="B26" s="141"/>
      <c r="C26" s="80"/>
      <c r="D26" s="93"/>
      <c r="E26" s="226"/>
      <c r="F26" s="89"/>
      <c r="G26" s="81"/>
      <c r="H26" s="82"/>
      <c r="I26" s="83" t="str">
        <f t="shared" si="2"/>
        <v/>
      </c>
      <c r="J26" s="361" t="str">
        <f t="shared" si="3"/>
        <v/>
      </c>
      <c r="K26" s="200">
        <v>23</v>
      </c>
      <c r="L26" s="133">
        <f t="shared" si="4"/>
        <v>0</v>
      </c>
      <c r="M26" s="135" t="s">
        <v>5</v>
      </c>
      <c r="O26" s="244"/>
      <c r="P26" s="244"/>
      <c r="Q26" s="244"/>
      <c r="R26" s="244"/>
      <c r="S26" s="244"/>
      <c r="T26" s="244"/>
      <c r="U26" s="244"/>
      <c r="V26" s="244"/>
      <c r="W26" s="244"/>
      <c r="X26" s="244"/>
      <c r="Y26" s="244"/>
      <c r="Z26" s="244"/>
      <c r="AA26" s="244"/>
      <c r="AB26" s="244"/>
    </row>
    <row r="27" spans="1:28" ht="13.35" customHeight="1">
      <c r="A27" s="50" t="s">
        <v>5</v>
      </c>
      <c r="B27" s="141"/>
      <c r="C27" s="80"/>
      <c r="D27" s="93"/>
      <c r="E27" s="226"/>
      <c r="F27" s="89"/>
      <c r="G27" s="81"/>
      <c r="H27" s="82"/>
      <c r="I27" s="83" t="str">
        <f t="shared" si="2"/>
        <v/>
      </c>
      <c r="J27" s="361" t="str">
        <f t="shared" si="3"/>
        <v/>
      </c>
      <c r="K27" s="200">
        <v>24</v>
      </c>
      <c r="L27" s="133">
        <f t="shared" si="4"/>
        <v>0</v>
      </c>
      <c r="M27" s="135" t="s">
        <v>5</v>
      </c>
      <c r="O27" s="244"/>
      <c r="P27" s="244"/>
      <c r="Q27" s="244"/>
      <c r="R27" s="244"/>
      <c r="S27" s="244"/>
      <c r="T27" s="244"/>
      <c r="U27" s="244"/>
      <c r="V27" s="244"/>
      <c r="W27" s="244"/>
      <c r="X27" s="244"/>
      <c r="Y27" s="244"/>
      <c r="Z27" s="244"/>
      <c r="AA27" s="244"/>
      <c r="AB27" s="244"/>
    </row>
    <row r="28" spans="1:28" ht="13.35" customHeight="1">
      <c r="A28" s="50" t="s">
        <v>5</v>
      </c>
      <c r="B28" s="141"/>
      <c r="C28" s="80"/>
      <c r="D28" s="93"/>
      <c r="E28" s="226"/>
      <c r="F28" s="89"/>
      <c r="G28" s="81"/>
      <c r="H28" s="82"/>
      <c r="I28" s="83" t="str">
        <f t="shared" si="2"/>
        <v/>
      </c>
      <c r="J28" s="361" t="str">
        <f t="shared" si="3"/>
        <v/>
      </c>
      <c r="K28" s="200">
        <v>25</v>
      </c>
      <c r="L28" s="133">
        <f t="shared" si="4"/>
        <v>0</v>
      </c>
      <c r="M28" s="135" t="s">
        <v>5</v>
      </c>
      <c r="O28" s="244"/>
      <c r="P28" s="244"/>
      <c r="Q28" s="244"/>
      <c r="R28" s="244"/>
      <c r="S28" s="244"/>
      <c r="T28" s="244"/>
      <c r="U28" s="244"/>
      <c r="V28" s="244"/>
      <c r="W28" s="244"/>
      <c r="X28" s="244"/>
      <c r="Y28" s="244"/>
      <c r="Z28" s="244"/>
      <c r="AA28" s="244"/>
      <c r="AB28" s="244"/>
    </row>
    <row r="29" spans="1:28" ht="13.35" customHeight="1">
      <c r="A29" s="50" t="s">
        <v>5</v>
      </c>
      <c r="B29" s="141"/>
      <c r="C29" s="80"/>
      <c r="D29" s="93"/>
      <c r="E29" s="226"/>
      <c r="F29" s="89"/>
      <c r="G29" s="81"/>
      <c r="H29" s="82"/>
      <c r="I29" s="83" t="str">
        <f t="shared" si="2"/>
        <v/>
      </c>
      <c r="J29" s="361" t="str">
        <f t="shared" si="3"/>
        <v/>
      </c>
      <c r="K29" s="200">
        <v>26</v>
      </c>
      <c r="L29" s="133">
        <f t="shared" si="4"/>
        <v>0</v>
      </c>
      <c r="M29" s="135" t="s">
        <v>5</v>
      </c>
      <c r="O29" s="244"/>
      <c r="P29" s="244"/>
      <c r="Q29" s="244"/>
      <c r="R29" s="244"/>
      <c r="S29" s="244"/>
      <c r="T29" s="244"/>
      <c r="U29" s="244"/>
      <c r="V29" s="244"/>
      <c r="W29" s="244"/>
      <c r="X29" s="244"/>
      <c r="Y29" s="244"/>
      <c r="Z29" s="244"/>
      <c r="AA29" s="244"/>
      <c r="AB29" s="244"/>
    </row>
    <row r="30" spans="1:28" ht="13.35" customHeight="1">
      <c r="A30" s="50" t="s">
        <v>5</v>
      </c>
      <c r="B30" s="141"/>
      <c r="C30" s="80"/>
      <c r="D30" s="93"/>
      <c r="E30" s="226"/>
      <c r="F30" s="89"/>
      <c r="G30" s="81"/>
      <c r="H30" s="82"/>
      <c r="I30" s="83" t="str">
        <f t="shared" si="2"/>
        <v/>
      </c>
      <c r="J30" s="361" t="str">
        <f t="shared" si="3"/>
        <v/>
      </c>
      <c r="K30" s="200">
        <v>27</v>
      </c>
      <c r="L30" s="133">
        <f t="shared" si="4"/>
        <v>0</v>
      </c>
      <c r="M30" s="135" t="s">
        <v>5</v>
      </c>
      <c r="O30" s="244"/>
      <c r="P30" s="244"/>
      <c r="Q30" s="244"/>
      <c r="R30" s="244"/>
      <c r="S30" s="244"/>
      <c r="T30" s="244"/>
      <c r="U30" s="244"/>
      <c r="V30" s="244"/>
      <c r="W30" s="244"/>
      <c r="X30" s="244"/>
      <c r="Y30" s="244"/>
      <c r="Z30" s="244"/>
      <c r="AA30" s="244"/>
      <c r="AB30" s="244"/>
    </row>
    <row r="31" spans="1:28" ht="13.35" customHeight="1">
      <c r="A31" s="50" t="s">
        <v>5</v>
      </c>
      <c r="B31" s="141"/>
      <c r="C31" s="80"/>
      <c r="D31" s="93"/>
      <c r="E31" s="226"/>
      <c r="F31" s="89"/>
      <c r="G31" s="81"/>
      <c r="H31" s="82"/>
      <c r="I31" s="83" t="str">
        <f t="shared" si="2"/>
        <v/>
      </c>
      <c r="J31" s="361" t="str">
        <f t="shared" si="3"/>
        <v/>
      </c>
      <c r="K31" s="200">
        <v>28</v>
      </c>
      <c r="L31" s="133">
        <f t="shared" si="4"/>
        <v>0</v>
      </c>
      <c r="M31" s="135" t="s">
        <v>5</v>
      </c>
      <c r="O31" s="244"/>
      <c r="P31" s="244"/>
      <c r="Q31" s="244"/>
      <c r="R31" s="244"/>
      <c r="S31" s="244"/>
      <c r="T31" s="244"/>
      <c r="U31" s="244"/>
      <c r="V31" s="244"/>
      <c r="W31" s="244"/>
      <c r="X31" s="244"/>
      <c r="Y31" s="244"/>
      <c r="Z31" s="244"/>
      <c r="AA31" s="244"/>
      <c r="AB31" s="244"/>
    </row>
    <row r="32" spans="1:28" ht="13.35" customHeight="1">
      <c r="A32" s="50" t="s">
        <v>5</v>
      </c>
      <c r="B32" s="141"/>
      <c r="C32" s="80"/>
      <c r="D32" s="93"/>
      <c r="E32" s="226"/>
      <c r="F32" s="89"/>
      <c r="G32" s="81"/>
      <c r="H32" s="82"/>
      <c r="I32" s="83" t="str">
        <f t="shared" si="2"/>
        <v/>
      </c>
      <c r="J32" s="361" t="str">
        <f t="shared" si="3"/>
        <v/>
      </c>
      <c r="K32" s="200">
        <v>29</v>
      </c>
      <c r="L32" s="133">
        <f t="shared" si="4"/>
        <v>0</v>
      </c>
      <c r="M32" s="135" t="s">
        <v>5</v>
      </c>
      <c r="O32" s="244"/>
      <c r="P32" s="244"/>
      <c r="Q32" s="244"/>
      <c r="R32" s="244"/>
      <c r="S32" s="244"/>
      <c r="T32" s="244"/>
      <c r="U32" s="244"/>
      <c r="V32" s="244"/>
      <c r="W32" s="244"/>
      <c r="X32" s="244"/>
      <c r="Y32" s="244"/>
      <c r="Z32" s="244"/>
      <c r="AA32" s="244"/>
      <c r="AB32" s="244"/>
    </row>
    <row r="33" spans="1:28" ht="13.35" customHeight="1">
      <c r="A33" s="50" t="s">
        <v>5</v>
      </c>
      <c r="B33" s="141"/>
      <c r="C33" s="80"/>
      <c r="D33" s="93"/>
      <c r="E33" s="226"/>
      <c r="F33" s="89"/>
      <c r="G33" s="81"/>
      <c r="H33" s="82"/>
      <c r="I33" s="83" t="str">
        <f t="shared" si="2"/>
        <v/>
      </c>
      <c r="J33" s="361" t="str">
        <f t="shared" si="3"/>
        <v/>
      </c>
      <c r="K33" s="200">
        <v>30</v>
      </c>
      <c r="L33" s="133">
        <f t="shared" si="4"/>
        <v>0</v>
      </c>
      <c r="M33" s="135" t="s">
        <v>5</v>
      </c>
      <c r="O33" s="244"/>
      <c r="P33" s="244"/>
      <c r="Q33" s="244"/>
      <c r="R33" s="244"/>
      <c r="S33" s="244"/>
      <c r="T33" s="244"/>
      <c r="U33" s="244"/>
      <c r="V33" s="244"/>
      <c r="W33" s="244"/>
      <c r="X33" s="244"/>
      <c r="Y33" s="244"/>
      <c r="Z33" s="244"/>
      <c r="AA33" s="244"/>
      <c r="AB33" s="244"/>
    </row>
    <row r="34" spans="1:28" ht="13.35" customHeight="1">
      <c r="A34" s="50" t="s">
        <v>5</v>
      </c>
      <c r="B34" s="141"/>
      <c r="C34" s="80"/>
      <c r="D34" s="93"/>
      <c r="E34" s="226"/>
      <c r="F34" s="89"/>
      <c r="G34" s="81"/>
      <c r="H34" s="82"/>
      <c r="I34" s="83" t="str">
        <f t="shared" si="2"/>
        <v/>
      </c>
      <c r="J34" s="361" t="str">
        <f t="shared" si="3"/>
        <v/>
      </c>
      <c r="K34" s="200">
        <v>31</v>
      </c>
      <c r="L34" s="133">
        <f t="shared" si="4"/>
        <v>0</v>
      </c>
      <c r="M34" s="135" t="s">
        <v>5</v>
      </c>
      <c r="O34" s="244"/>
      <c r="P34" s="244"/>
      <c r="Q34" s="244"/>
      <c r="R34" s="244"/>
      <c r="S34" s="244"/>
      <c r="T34" s="244"/>
      <c r="U34" s="244"/>
      <c r="V34" s="244"/>
      <c r="W34" s="244"/>
      <c r="X34" s="244"/>
      <c r="Y34" s="244"/>
      <c r="Z34" s="244"/>
      <c r="AA34" s="244"/>
      <c r="AB34" s="244"/>
    </row>
    <row r="35" spans="1:28" ht="13.35" customHeight="1">
      <c r="A35" s="50" t="s">
        <v>5</v>
      </c>
      <c r="B35" s="141"/>
      <c r="C35" s="80"/>
      <c r="D35" s="93"/>
      <c r="E35" s="226"/>
      <c r="F35" s="89"/>
      <c r="G35" s="81"/>
      <c r="H35" s="82"/>
      <c r="I35" s="83" t="str">
        <f t="shared" si="2"/>
        <v/>
      </c>
      <c r="J35" s="361" t="str">
        <f t="shared" si="3"/>
        <v/>
      </c>
      <c r="K35" s="200">
        <v>32</v>
      </c>
      <c r="L35" s="133">
        <f t="shared" si="4"/>
        <v>0</v>
      </c>
      <c r="M35" s="135" t="s">
        <v>5</v>
      </c>
      <c r="O35" s="244"/>
      <c r="P35" s="244"/>
      <c r="Q35" s="244"/>
      <c r="R35" s="244"/>
      <c r="S35" s="244"/>
      <c r="T35" s="244"/>
      <c r="U35" s="244"/>
      <c r="V35" s="244"/>
      <c r="W35" s="244"/>
      <c r="X35" s="244"/>
      <c r="Y35" s="244"/>
      <c r="Z35" s="244"/>
      <c r="AA35" s="244"/>
      <c r="AB35" s="244"/>
    </row>
    <row r="36" spans="1:28" ht="13.35" customHeight="1">
      <c r="A36" s="50" t="s">
        <v>5</v>
      </c>
      <c r="B36" s="141"/>
      <c r="C36" s="80"/>
      <c r="D36" s="93"/>
      <c r="E36" s="226"/>
      <c r="F36" s="89"/>
      <c r="G36" s="81"/>
      <c r="H36" s="82"/>
      <c r="I36" s="83" t="str">
        <f t="shared" si="2"/>
        <v/>
      </c>
      <c r="J36" s="361" t="str">
        <f t="shared" si="3"/>
        <v/>
      </c>
      <c r="K36" s="200">
        <v>33</v>
      </c>
      <c r="L36" s="133">
        <f t="shared" si="4"/>
        <v>0</v>
      </c>
      <c r="M36" s="135" t="s">
        <v>5</v>
      </c>
      <c r="O36" s="244"/>
      <c r="P36" s="244"/>
      <c r="Q36" s="244"/>
      <c r="R36" s="244"/>
      <c r="S36" s="244"/>
      <c r="T36" s="244"/>
      <c r="U36" s="244"/>
      <c r="V36" s="244"/>
      <c r="W36" s="244"/>
      <c r="X36" s="244"/>
      <c r="Y36" s="244"/>
      <c r="Z36" s="244"/>
      <c r="AA36" s="244"/>
      <c r="AB36" s="244"/>
    </row>
    <row r="37" spans="1:28" ht="13.35" customHeight="1">
      <c r="A37" s="50" t="s">
        <v>5</v>
      </c>
      <c r="B37" s="141"/>
      <c r="C37" s="80"/>
      <c r="D37" s="93"/>
      <c r="E37" s="226"/>
      <c r="F37" s="89"/>
      <c r="G37" s="81"/>
      <c r="H37" s="82"/>
      <c r="I37" s="83" t="str">
        <f t="shared" si="2"/>
        <v/>
      </c>
      <c r="J37" s="361" t="str">
        <f t="shared" si="3"/>
        <v/>
      </c>
      <c r="K37" s="200">
        <v>34</v>
      </c>
      <c r="L37" s="133">
        <f t="shared" si="4"/>
        <v>0</v>
      </c>
      <c r="M37" s="135" t="s">
        <v>5</v>
      </c>
      <c r="O37" s="244"/>
      <c r="P37" s="244"/>
      <c r="Q37" s="244"/>
      <c r="R37" s="244"/>
      <c r="S37" s="244"/>
      <c r="T37" s="244"/>
      <c r="U37" s="244"/>
      <c r="V37" s="244"/>
      <c r="W37" s="244"/>
      <c r="X37" s="244"/>
      <c r="Y37" s="244"/>
      <c r="Z37" s="244"/>
      <c r="AA37" s="244"/>
      <c r="AB37" s="244"/>
    </row>
    <row r="38" spans="1:28" ht="13.35" customHeight="1">
      <c r="A38" s="50" t="s">
        <v>5</v>
      </c>
      <c r="B38" s="141"/>
      <c r="C38" s="80"/>
      <c r="D38" s="93"/>
      <c r="E38" s="226"/>
      <c r="F38" s="89"/>
      <c r="G38" s="81"/>
      <c r="H38" s="82"/>
      <c r="I38" s="83" t="str">
        <f t="shared" si="2"/>
        <v/>
      </c>
      <c r="J38" s="361" t="str">
        <f t="shared" si="3"/>
        <v/>
      </c>
      <c r="K38" s="200">
        <v>35</v>
      </c>
      <c r="L38" s="133">
        <f t="shared" si="4"/>
        <v>0</v>
      </c>
      <c r="M38" s="135" t="s">
        <v>5</v>
      </c>
      <c r="O38" s="244"/>
      <c r="P38" s="244"/>
      <c r="Q38" s="244"/>
      <c r="R38" s="244"/>
      <c r="S38" s="244"/>
      <c r="T38" s="244"/>
      <c r="U38" s="244"/>
      <c r="V38" s="244"/>
      <c r="W38" s="244"/>
      <c r="X38" s="244"/>
      <c r="Y38" s="244"/>
      <c r="Z38" s="244"/>
      <c r="AA38" s="244"/>
      <c r="AB38" s="244"/>
    </row>
    <row r="39" spans="1:28" ht="13.35" customHeight="1">
      <c r="A39" s="50" t="s">
        <v>5</v>
      </c>
      <c r="B39" s="141"/>
      <c r="C39" s="80"/>
      <c r="D39" s="93"/>
      <c r="E39" s="226"/>
      <c r="F39" s="89"/>
      <c r="G39" s="81"/>
      <c r="H39" s="82"/>
      <c r="I39" s="83" t="str">
        <f t="shared" si="2"/>
        <v/>
      </c>
      <c r="J39" s="361" t="str">
        <f t="shared" si="3"/>
        <v/>
      </c>
      <c r="K39" s="200">
        <v>36</v>
      </c>
      <c r="L39" s="133">
        <f t="shared" si="4"/>
        <v>0</v>
      </c>
      <c r="M39" s="135" t="s">
        <v>5</v>
      </c>
      <c r="O39" s="244"/>
      <c r="P39" s="244"/>
      <c r="Q39" s="244"/>
      <c r="R39" s="244"/>
      <c r="S39" s="244"/>
      <c r="T39" s="244"/>
      <c r="U39" s="244"/>
      <c r="V39" s="244"/>
      <c r="W39" s="244"/>
      <c r="X39" s="244"/>
      <c r="Y39" s="244"/>
      <c r="Z39" s="244"/>
      <c r="AA39" s="244"/>
      <c r="AB39" s="244"/>
    </row>
    <row r="40" spans="1:28" ht="13.35" customHeight="1">
      <c r="A40" s="50" t="s">
        <v>5</v>
      </c>
      <c r="B40" s="141"/>
      <c r="C40" s="80"/>
      <c r="D40" s="93"/>
      <c r="E40" s="226"/>
      <c r="F40" s="89"/>
      <c r="G40" s="81"/>
      <c r="H40" s="82"/>
      <c r="I40" s="83" t="str">
        <f t="shared" si="2"/>
        <v/>
      </c>
      <c r="J40" s="361" t="str">
        <f t="shared" si="3"/>
        <v/>
      </c>
      <c r="K40" s="200">
        <v>37</v>
      </c>
      <c r="L40" s="133">
        <f t="shared" si="4"/>
        <v>0</v>
      </c>
      <c r="M40" s="135" t="s">
        <v>5</v>
      </c>
      <c r="O40" s="244"/>
      <c r="P40" s="244"/>
      <c r="Q40" s="244"/>
      <c r="R40" s="244"/>
      <c r="S40" s="244"/>
      <c r="T40" s="244"/>
      <c r="U40" s="244"/>
      <c r="V40" s="244"/>
      <c r="W40" s="244"/>
      <c r="X40" s="244"/>
      <c r="Y40" s="244"/>
      <c r="Z40" s="244"/>
      <c r="AA40" s="244"/>
      <c r="AB40" s="244"/>
    </row>
    <row r="41" spans="1:28" ht="13.35" customHeight="1">
      <c r="A41" s="50" t="s">
        <v>5</v>
      </c>
      <c r="B41" s="141"/>
      <c r="C41" s="80"/>
      <c r="D41" s="93"/>
      <c r="E41" s="226"/>
      <c r="F41" s="89"/>
      <c r="G41" s="81"/>
      <c r="H41" s="82"/>
      <c r="I41" s="83" t="str">
        <f t="shared" si="2"/>
        <v/>
      </c>
      <c r="J41" s="361" t="str">
        <f t="shared" si="3"/>
        <v/>
      </c>
      <c r="K41" s="200">
        <v>38</v>
      </c>
      <c r="L41" s="133">
        <f t="shared" si="4"/>
        <v>0</v>
      </c>
      <c r="M41" s="135" t="s">
        <v>5</v>
      </c>
      <c r="O41" s="244"/>
      <c r="P41" s="244"/>
      <c r="Q41" s="244"/>
      <c r="R41" s="244"/>
      <c r="S41" s="244"/>
      <c r="T41" s="244"/>
      <c r="U41" s="244"/>
      <c r="V41" s="244"/>
      <c r="W41" s="244"/>
      <c r="X41" s="244"/>
      <c r="Y41" s="244"/>
      <c r="Z41" s="244"/>
      <c r="AA41" s="244"/>
      <c r="AB41" s="244"/>
    </row>
    <row r="42" spans="1:28" ht="13.35" customHeight="1">
      <c r="A42" s="50" t="s">
        <v>5</v>
      </c>
      <c r="B42" s="141"/>
      <c r="C42" s="80"/>
      <c r="D42" s="93"/>
      <c r="E42" s="226"/>
      <c r="F42" s="89"/>
      <c r="G42" s="81"/>
      <c r="H42" s="82"/>
      <c r="I42" s="83" t="str">
        <f t="shared" si="2"/>
        <v/>
      </c>
      <c r="J42" s="361" t="str">
        <f t="shared" si="3"/>
        <v/>
      </c>
      <c r="K42" s="200">
        <v>39</v>
      </c>
      <c r="L42" s="133">
        <f t="shared" si="4"/>
        <v>0</v>
      </c>
      <c r="M42" s="135" t="s">
        <v>5</v>
      </c>
      <c r="O42" s="244"/>
      <c r="P42" s="244"/>
      <c r="Q42" s="244"/>
      <c r="R42" s="244"/>
      <c r="S42" s="244"/>
      <c r="T42" s="244"/>
      <c r="U42" s="244"/>
      <c r="V42" s="244"/>
      <c r="W42" s="244"/>
      <c r="X42" s="244"/>
      <c r="Y42" s="244"/>
      <c r="Z42" s="244"/>
      <c r="AA42" s="244"/>
      <c r="AB42" s="244"/>
    </row>
    <row r="43" spans="1:28" ht="13.35" customHeight="1">
      <c r="A43" s="50" t="s">
        <v>5</v>
      </c>
      <c r="B43" s="141"/>
      <c r="C43" s="80"/>
      <c r="D43" s="93"/>
      <c r="E43" s="226"/>
      <c r="F43" s="89"/>
      <c r="G43" s="81"/>
      <c r="H43" s="82"/>
      <c r="I43" s="83" t="str">
        <f t="shared" si="2"/>
        <v/>
      </c>
      <c r="J43" s="361" t="str">
        <f t="shared" si="3"/>
        <v/>
      </c>
      <c r="K43" s="200">
        <v>40</v>
      </c>
      <c r="L43" s="133">
        <f t="shared" si="4"/>
        <v>0</v>
      </c>
      <c r="M43" s="135" t="s">
        <v>5</v>
      </c>
      <c r="O43" s="244"/>
      <c r="P43" s="244"/>
      <c r="Q43" s="244"/>
      <c r="R43" s="244"/>
      <c r="S43" s="244"/>
      <c r="T43" s="244"/>
      <c r="U43" s="244"/>
      <c r="V43" s="244"/>
      <c r="W43" s="244"/>
      <c r="X43" s="244"/>
      <c r="Y43" s="244"/>
      <c r="Z43" s="244"/>
      <c r="AA43" s="244"/>
      <c r="AB43" s="244"/>
    </row>
    <row r="44" spans="1:28" ht="13.35" customHeight="1">
      <c r="A44" s="50" t="s">
        <v>5</v>
      </c>
      <c r="B44" s="141"/>
      <c r="C44" s="80"/>
      <c r="D44" s="93"/>
      <c r="E44" s="226"/>
      <c r="F44" s="89"/>
      <c r="G44" s="81"/>
      <c r="H44" s="82"/>
      <c r="I44" s="83" t="str">
        <f t="shared" si="2"/>
        <v/>
      </c>
      <c r="J44" s="361" t="str">
        <f t="shared" si="3"/>
        <v/>
      </c>
      <c r="K44" s="200">
        <v>41</v>
      </c>
      <c r="L44" s="133">
        <f t="shared" si="4"/>
        <v>0</v>
      </c>
      <c r="M44" s="135" t="s">
        <v>5</v>
      </c>
      <c r="O44" s="244"/>
      <c r="P44" s="244"/>
      <c r="Q44" s="244"/>
      <c r="R44" s="244"/>
      <c r="S44" s="244"/>
      <c r="T44" s="244"/>
      <c r="U44" s="244"/>
      <c r="V44" s="244"/>
      <c r="W44" s="244"/>
      <c r="X44" s="244"/>
      <c r="Y44" s="244"/>
      <c r="Z44" s="244"/>
      <c r="AA44" s="244"/>
      <c r="AB44" s="244"/>
    </row>
    <row r="45" spans="1:28" ht="13.35" customHeight="1">
      <c r="A45" s="50" t="s">
        <v>5</v>
      </c>
      <c r="B45" s="141"/>
      <c r="C45" s="80"/>
      <c r="D45" s="93"/>
      <c r="E45" s="226"/>
      <c r="F45" s="89"/>
      <c r="G45" s="81"/>
      <c r="H45" s="82"/>
      <c r="I45" s="83" t="str">
        <f t="shared" ref="I45:I46" si="7">IF(G45&lt;&gt;"",+G45-G45/(1+H45/100),"")</f>
        <v/>
      </c>
      <c r="J45" s="361" t="str">
        <f t="shared" ref="J45:J46" si="8">IF(G45&lt;&gt;0,+G45-I45,"")</f>
        <v/>
      </c>
      <c r="K45" s="200">
        <v>44</v>
      </c>
      <c r="L45" s="133">
        <f t="shared" ref="L45:L46" si="9">IF(B45&lt;$O$2,0,IF(B45&lt;$P$2,1,IF(B45&lt;$Q$2,2,IF(B45&lt;$R$2,3,IF(B45&lt;$S$2,4,IF(B45&lt;$T$2,5,IF(B45&lt;$U$2,6,IF(B45&lt;$V$2,7,IF(B45&lt;$W$2,8,IF(B45&lt;$X$2,9,IF(B45&lt;$Y$2,10,IF(B45&lt;$Z$2,11,IF(B45&lt;=$Z$3,12,0)))))))))))))</f>
        <v>0</v>
      </c>
      <c r="M45" s="135" t="s">
        <v>5</v>
      </c>
      <c r="O45" s="244"/>
      <c r="P45" s="244"/>
      <c r="Q45" s="244"/>
      <c r="R45" s="244"/>
      <c r="S45" s="244"/>
      <c r="T45" s="244"/>
      <c r="U45" s="244"/>
      <c r="V45" s="244"/>
      <c r="W45" s="244"/>
      <c r="X45" s="244"/>
      <c r="Y45" s="244"/>
      <c r="Z45" s="244"/>
      <c r="AA45" s="244"/>
      <c r="AB45" s="244"/>
    </row>
    <row r="46" spans="1:28" ht="13.35" customHeight="1" thickBot="1">
      <c r="A46" s="50" t="s">
        <v>5</v>
      </c>
      <c r="B46" s="141"/>
      <c r="C46" s="80"/>
      <c r="D46" s="93"/>
      <c r="E46" s="226"/>
      <c r="F46" s="89"/>
      <c r="G46" s="81"/>
      <c r="H46" s="82"/>
      <c r="I46" s="83" t="str">
        <f t="shared" si="7"/>
        <v/>
      </c>
      <c r="J46" s="361" t="str">
        <f t="shared" si="8"/>
        <v/>
      </c>
      <c r="K46" s="200">
        <v>45</v>
      </c>
      <c r="L46" s="133">
        <f t="shared" si="9"/>
        <v>0</v>
      </c>
      <c r="M46" s="135" t="s">
        <v>5</v>
      </c>
      <c r="O46" s="244"/>
      <c r="P46" s="244"/>
      <c r="Q46" s="244"/>
      <c r="R46" s="244"/>
      <c r="S46" s="244"/>
      <c r="T46" s="244"/>
      <c r="U46" s="244"/>
      <c r="V46" s="244"/>
      <c r="W46" s="244"/>
      <c r="X46" s="244"/>
      <c r="Y46" s="244"/>
      <c r="Z46" s="244"/>
      <c r="AA46" s="244"/>
      <c r="AB46" s="244"/>
    </row>
    <row r="47" spans="1:28" ht="12" customHeight="1" thickTop="1" thickBot="1">
      <c r="A47" s="391" t="s">
        <v>283</v>
      </c>
      <c r="B47" s="1244" t="str">
        <f>IF($A$48=0,"^ Zeile einfügen","bis hierher ziehen!")</f>
        <v>^ Zeile einfügen</v>
      </c>
      <c r="C47" s="1244"/>
      <c r="D47" s="392" t="s">
        <v>5</v>
      </c>
      <c r="E47" s="393" t="s">
        <v>5</v>
      </c>
      <c r="F47" s="394" t="s">
        <v>5</v>
      </c>
      <c r="G47" s="394"/>
      <c r="H47" s="395"/>
      <c r="I47" s="396"/>
      <c r="J47" s="425"/>
      <c r="K47" s="201">
        <v>0</v>
      </c>
      <c r="L47" s="185" t="s">
        <v>5</v>
      </c>
      <c r="M47" s="398" t="s">
        <v>283</v>
      </c>
    </row>
    <row r="48" spans="1:28" ht="12" customHeight="1" thickTop="1" thickBot="1">
      <c r="A48" s="390">
        <f>COUNTBLANK(A3:A47)+A49</f>
        <v>0</v>
      </c>
      <c r="B48" s="193" t="str">
        <f>+EÜR!C25</f>
        <v>ü</v>
      </c>
      <c r="C48" s="194" t="s">
        <v>5</v>
      </c>
      <c r="D48" s="194" t="s">
        <v>5</v>
      </c>
      <c r="E48" s="195" t="s">
        <v>5</v>
      </c>
      <c r="F48" s="196" t="s">
        <v>5</v>
      </c>
      <c r="G48" s="197">
        <f>SUBTOTAL(9,G3:G47)</f>
        <v>0</v>
      </c>
      <c r="H48" s="1242">
        <f>SUBTOTAL(9,I3:I47)</f>
        <v>0</v>
      </c>
      <c r="I48" s="1243">
        <f>SUBTOTAL(9,I3:I47)</f>
        <v>0</v>
      </c>
      <c r="J48" s="1293">
        <f>G48-H48</f>
        <v>0</v>
      </c>
      <c r="K48" s="1294"/>
      <c r="L48" s="1295"/>
      <c r="M48" s="135" t="s">
        <v>5</v>
      </c>
    </row>
    <row r="49" spans="1:14" ht="12" customHeight="1" thickTop="1" thickBot="1">
      <c r="A49" s="390">
        <f>IF(ISERROR(J47),1,0)</f>
        <v>0</v>
      </c>
      <c r="B49" s="192">
        <f>J48-G49-E49-C49</f>
        <v>0</v>
      </c>
      <c r="C49" s="1239">
        <f>SUMIF(F4:F47,"Kreditkarte",G4:G47)</f>
        <v>0</v>
      </c>
      <c r="D49" s="1239"/>
      <c r="E49" s="1240">
        <f>SUMIF(F4:F47,"Konto",G4:G47)</f>
        <v>0</v>
      </c>
      <c r="F49" s="1240"/>
      <c r="G49" s="1241">
        <f>SUMIF(F4:F47,"Geldbeutel",G4:G47)</f>
        <v>0</v>
      </c>
      <c r="H49" s="1241"/>
      <c r="I49" s="1241"/>
      <c r="J49" s="1296"/>
      <c r="K49" s="1297"/>
      <c r="L49" s="1298"/>
      <c r="M49" s="135" t="s">
        <v>5</v>
      </c>
    </row>
    <row r="50" spans="1:14" s="15" customFormat="1" ht="5.25" customHeight="1" thickTop="1">
      <c r="A50" s="36"/>
      <c r="B50" s="2"/>
      <c r="C50" s="3"/>
      <c r="D50" s="3"/>
      <c r="E50" s="1"/>
      <c r="G50" s="16"/>
      <c r="H50" s="16"/>
      <c r="I50" s="17"/>
      <c r="J50" s="18"/>
      <c r="K50" s="18"/>
      <c r="L50" s="31"/>
      <c r="N50" s="148"/>
    </row>
    <row r="51" spans="1:14">
      <c r="A51" s="36"/>
    </row>
  </sheetData>
  <sheetProtection formatCells="0" insertRows="0" deleteRows="0" selectLockedCells="1" sort="0" autoFilter="0"/>
  <mergeCells count="15">
    <mergeCell ref="C2:I2"/>
    <mergeCell ref="J2:L2"/>
    <mergeCell ref="AA9:AB9"/>
    <mergeCell ref="O10:Z10"/>
    <mergeCell ref="O11:Z11"/>
    <mergeCell ref="AA13:AB13"/>
    <mergeCell ref="O14:Z14"/>
    <mergeCell ref="AA14:AB14"/>
    <mergeCell ref="AA4:AB4"/>
    <mergeCell ref="B47:C47"/>
    <mergeCell ref="H48:I48"/>
    <mergeCell ref="J48:L49"/>
    <mergeCell ref="C49:D49"/>
    <mergeCell ref="E49:F49"/>
    <mergeCell ref="G49:I49"/>
  </mergeCells>
  <conditionalFormatting sqref="A4:A46">
    <cfRule type="expression" dxfId="1278" priority="22">
      <formula>ISERROR(J4)</formula>
    </cfRule>
    <cfRule type="cellIs" dxfId="1277" priority="23" operator="equal">
      <formula>""</formula>
    </cfRule>
  </conditionalFormatting>
  <conditionalFormatting sqref="A47:C47">
    <cfRule type="expression" dxfId="1276" priority="7">
      <formula>$A$48&lt;&gt;0</formula>
    </cfRule>
  </conditionalFormatting>
  <conditionalFormatting sqref="B2">
    <cfRule type="expression" dxfId="1275" priority="49" stopIfTrue="1">
      <formula>$B$48="x"</formula>
    </cfRule>
  </conditionalFormatting>
  <conditionalFormatting sqref="B4:B46">
    <cfRule type="cellIs" dxfId="1272" priority="36" operator="equal">
      <formula>""</formula>
    </cfRule>
  </conditionalFormatting>
  <conditionalFormatting sqref="B48">
    <cfRule type="cellIs" dxfId="1271" priority="72" operator="equal">
      <formula>"y"</formula>
    </cfRule>
  </conditionalFormatting>
  <conditionalFormatting sqref="B3:J3">
    <cfRule type="expression" dxfId="1270" priority="10792">
      <formula>$B$48="x"</formula>
    </cfRule>
  </conditionalFormatting>
  <conditionalFormatting sqref="B4:J46">
    <cfRule type="expression" dxfId="1269" priority="32">
      <formula>$B$1="x"</formula>
    </cfRule>
  </conditionalFormatting>
  <conditionalFormatting sqref="B3:L3">
    <cfRule type="expression" dxfId="1268" priority="66">
      <formula>$B$48="x"</formula>
    </cfRule>
  </conditionalFormatting>
  <conditionalFormatting sqref="C4:D46">
    <cfRule type="expression" dxfId="1267" priority="39">
      <formula>AND($B4&lt;&gt;"",$C4="")</formula>
    </cfRule>
  </conditionalFormatting>
  <conditionalFormatting sqref="C49:I49">
    <cfRule type="cellIs" dxfId="1266" priority="71" stopIfTrue="1" operator="lessThan">
      <formula>0</formula>
    </cfRule>
    <cfRule type="cellIs" dxfId="1265" priority="69" stopIfTrue="1" operator="greaterThanOrEqual">
      <formula>0</formula>
    </cfRule>
  </conditionalFormatting>
  <conditionalFormatting sqref="D47:J47">
    <cfRule type="expression" dxfId="1264" priority="9">
      <formula>$A$48&lt;&gt;0</formula>
    </cfRule>
  </conditionalFormatting>
  <conditionalFormatting sqref="H4:H46">
    <cfRule type="expression" dxfId="1263" priority="35">
      <formula>AND(G4&lt;&gt;"",H4="",$I$1&lt;&gt;"x")</formula>
    </cfRule>
  </conditionalFormatting>
  <conditionalFormatting sqref="H4:I46">
    <cfRule type="expression" dxfId="1262" priority="33">
      <formula>AND($I4&lt;&gt;0,$I$1&lt;&gt;"ü")</formula>
    </cfRule>
    <cfRule type="expression" dxfId="1261" priority="34">
      <formula>$I$1&lt;&gt;"ü"</formula>
    </cfRule>
  </conditionalFormatting>
  <conditionalFormatting sqref="J48:L48 C49:L49 C48:H48">
    <cfRule type="expression" dxfId="1259" priority="68">
      <formula>$B$48="x"</formula>
    </cfRule>
  </conditionalFormatting>
  <conditionalFormatting sqref="J48:L49">
    <cfRule type="expression" dxfId="1258" priority="67">
      <formula>AND($B$48="x",$J$48&lt;&gt;0)</formula>
    </cfRule>
  </conditionalFormatting>
  <conditionalFormatting sqref="K4:L46">
    <cfRule type="expression" dxfId="1257" priority="17414">
      <formula>$B$48="x"</formula>
    </cfRule>
  </conditionalFormatting>
  <conditionalFormatting sqref="M3">
    <cfRule type="cellIs" dxfId="1256" priority="31" operator="equal">
      <formula>""</formula>
    </cfRule>
  </conditionalFormatting>
  <conditionalFormatting sqref="M4:M46">
    <cfRule type="expression" dxfId="1255" priority="29">
      <formula>ISERROR(J4)</formula>
    </cfRule>
    <cfRule type="cellIs" dxfId="1254" priority="30" operator="equal">
      <formula>""</formula>
    </cfRule>
  </conditionalFormatting>
  <conditionalFormatting sqref="M47">
    <cfRule type="expression" dxfId="1253" priority="8">
      <formula>$A$48&lt;&gt;0</formula>
    </cfRule>
  </conditionalFormatting>
  <conditionalFormatting sqref="M47:M49">
    <cfRule type="cellIs" dxfId="1252" priority="11" operator="equal">
      <formula>""</formula>
    </cfRule>
  </conditionalFormatting>
  <conditionalFormatting sqref="N10:AB10">
    <cfRule type="expression" dxfId="1251" priority="6">
      <formula>$N$2=0</formula>
    </cfRule>
  </conditionalFormatting>
  <conditionalFormatting sqref="O11:Z11">
    <cfRule type="cellIs" dxfId="1250" priority="53" operator="equal">
      <formula>"Fehler!"</formula>
    </cfRule>
  </conditionalFormatting>
  <conditionalFormatting sqref="O4:AA4">
    <cfRule type="expression" dxfId="1246" priority="48">
      <formula>$N$2=0</formula>
    </cfRule>
  </conditionalFormatting>
  <conditionalFormatting sqref="O2:AB3">
    <cfRule type="expression" dxfId="1244" priority="1">
      <formula>$N$2=0</formula>
    </cfRule>
  </conditionalFormatting>
  <conditionalFormatting sqref="O5:AB8 O9:AA9">
    <cfRule type="expression" dxfId="1243" priority="52">
      <formula>$N$2=0</formula>
    </cfRule>
  </conditionalFormatting>
  <conditionalFormatting sqref="O11:AB14">
    <cfRule type="expression" dxfId="1242" priority="3">
      <formula>$N$2=0</formula>
    </cfRule>
  </conditionalFormatting>
  <conditionalFormatting sqref="O47:AB49">
    <cfRule type="expression" dxfId="1241" priority="10">
      <formula>$N$2=0</formula>
    </cfRule>
  </conditionalFormatting>
  <dataValidations count="2">
    <dataValidation type="list" allowBlank="1" showInputMessage="1" showErrorMessage="1" sqref="F4:F46" xr:uid="{C1F6BE9F-303A-4CCD-AD3D-7237B0981E74}">
      <formula1>"Konto,Geldbeutel,Kreditkarte,x"</formula1>
    </dataValidation>
    <dataValidation type="list" allowBlank="1" showInputMessage="1" showErrorMessage="1" sqref="H4:H46" xr:uid="{4A1F3A14-FEF2-4A06-A257-05609B322293}">
      <formula1>"19,7,0,~"</formula1>
    </dataValidation>
  </dataValidations>
  <hyperlinks>
    <hyperlink ref="J2" location="'2022 EÜR'!A1" display="Menü" xr:uid="{03559C68-424F-4A1B-83B2-B9B40C9210FC}"/>
    <hyperlink ref="J2:L2" location="EÜR!A1" display="EÜR" xr:uid="{75BDB52A-B532-4C04-A8E4-838F8A8B9ADC}"/>
  </hyperlinks>
  <printOptions horizontalCentered="1"/>
  <pageMargins left="0" right="0" top="0" bottom="0.31496062992125984" header="0" footer="0"/>
  <pageSetup paperSize="9" orientation="portrait" r:id="rId1"/>
  <headerFooter>
    <oddFooter>&amp;L&amp;"Arial,Standard"&amp;8Datei: &amp;Z&amp;F/&amp;A&amp;C&amp;"Arial,Standard"&amp;8Seite &amp;P von &amp;N&amp;R&amp;"Arial,Standard"&amp;8Druck: &amp;D&amp;T Uhr</oddFooter>
  </headerFooter>
  <extLst>
    <ext xmlns:x14="http://schemas.microsoft.com/office/spreadsheetml/2009/9/main" uri="{78C0D931-6437-407d-A8EE-F0AAD7539E65}">
      <x14:conditionalFormattings>
        <x14:conditionalFormatting xmlns:xm="http://schemas.microsoft.com/office/excel/2006/main">
          <x14:cfRule type="cellIs" priority="37" operator="greaterThan" id="{D2BD4A1C-6F25-4BB4-94F6-E46D12F3887B}">
            <xm:f>EÜR!$I$78</xm:f>
            <x14:dxf>
              <font>
                <b/>
                <i val="0"/>
                <color rgb="FFFFFF00"/>
              </font>
              <fill>
                <patternFill>
                  <bgColor rgb="FFC00000"/>
                </patternFill>
              </fill>
            </x14:dxf>
          </x14:cfRule>
          <x14:cfRule type="cellIs" priority="38" operator="lessThan" id="{155A59D4-C161-4250-B20C-1FB4D925406D}">
            <xm:f>EÜR!$I$77</xm:f>
            <x14:dxf>
              <font>
                <b/>
                <i val="0"/>
                <color rgb="FFFFFF00"/>
              </font>
              <fill>
                <patternFill>
                  <bgColor rgb="FFC00000"/>
                </patternFill>
              </fill>
            </x14:dxf>
          </x14:cfRule>
          <xm:sqref>B4:B46</xm:sqref>
        </x14:conditionalFormatting>
        <x14:conditionalFormatting xmlns:xm="http://schemas.microsoft.com/office/excel/2006/main">
          <x14:cfRule type="expression" priority="50" id="{A2B0DF26-4A5D-464A-A596-850213E03B13}">
            <xm:f>AND(EÜR!$J$66&lt;&gt;"ü",$H$48&lt;&gt;0)</xm:f>
            <x14:dxf>
              <font>
                <b/>
                <i val="0"/>
                <color rgb="FFFFFF00"/>
              </font>
              <fill>
                <patternFill>
                  <bgColor rgb="FFFF0000"/>
                </patternFill>
              </fill>
            </x14:dxf>
          </x14:cfRule>
          <xm:sqref>H48:I48</xm:sqref>
        </x14:conditionalFormatting>
        <x14:conditionalFormatting xmlns:xm="http://schemas.microsoft.com/office/excel/2006/main">
          <x14:cfRule type="expression" priority="54" id="{47BB2639-85C1-4339-886C-3F95C04B1547}">
            <xm:f>AND(O13&lt;&gt;0,U!L36="!",U!L37="!")</xm:f>
            <x14:dxf>
              <font>
                <b/>
                <i val="0"/>
                <color rgb="FFFF0000"/>
              </font>
              <fill>
                <patternFill>
                  <bgColor rgb="FFFFCCCC"/>
                </patternFill>
              </fill>
            </x14:dxf>
          </x14:cfRule>
          <x14:cfRule type="expression" priority="55" id="{FFB1FE2F-5964-46F7-8067-5584F58C5B04}">
            <xm:f>U!L37&lt;&gt;"!"</xm:f>
            <x14:dxf>
              <font>
                <b/>
                <i val="0"/>
                <color rgb="FF006666"/>
              </font>
              <fill>
                <patternFill>
                  <bgColor theme="6" tint="0.39994506668294322"/>
                </patternFill>
              </fill>
            </x14:dxf>
          </x14:cfRule>
          <x14:cfRule type="expression" priority="56" id="{1006E598-F94F-4E78-B472-5C1F72F24BDF}">
            <xm:f>U!L36&lt;&gt;"!"</xm:f>
            <x14:dxf>
              <font>
                <b/>
                <i val="0"/>
                <color theme="9" tint="-0.499984740745262"/>
              </font>
              <fill>
                <patternFill>
                  <bgColor rgb="FFFFFF99"/>
                </patternFill>
              </fill>
            </x14:dxf>
          </x14:cfRule>
          <xm:sqref>O13:Z13</xm:sqref>
        </x14:conditionalFormatting>
        <x14:conditionalFormatting xmlns:xm="http://schemas.microsoft.com/office/excel/2006/main">
          <x14:cfRule type="expression" priority="2" id="{F12C23A4-B19D-419D-80E6-00993B6C1546}">
            <xm:f>EÜR!$J$66="-"</xm:f>
            <x14:dxf>
              <font>
                <b/>
                <i val="0"/>
                <color theme="0"/>
              </font>
              <fill>
                <patternFill>
                  <bgColor theme="0"/>
                </patternFill>
              </fill>
              <border>
                <left/>
                <right/>
                <top/>
                <bottom/>
              </border>
            </x14:dxf>
          </x14:cfRule>
          <xm:sqref>O12:AA14</xm:sqref>
        </x14:conditionalFormatting>
      </x14:conditionalFormatting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420CA1-F548-4947-A52B-1AFE3ED6802B}">
  <sheetPr>
    <tabColor theme="9" tint="0.39997558519241921"/>
    <pageSetUpPr autoPageBreaks="0"/>
  </sheetPr>
  <dimension ref="A1:AB51"/>
  <sheetViews>
    <sheetView showGridLines="0" showRowColHeaders="0" zoomScaleNormal="100" workbookViewId="0">
      <pane ySplit="3" topLeftCell="A4" activePane="bottomLeft" state="frozen"/>
      <selection activeCell="F4" sqref="F4:F46"/>
      <selection pane="bottomLeft" activeCell="A4" sqref="A4"/>
    </sheetView>
  </sheetViews>
  <sheetFormatPr baseColWidth="10" defaultColWidth="9.77734375" defaultRowHeight="12.75"/>
  <cols>
    <col min="1" max="1" width="0.77734375" style="12" customWidth="1"/>
    <col min="2" max="2" width="7.6640625" style="30" customWidth="1"/>
    <col min="3" max="3" width="21.6640625" style="24" customWidth="1"/>
    <col min="4" max="4" width="7.6640625" style="24" customWidth="1"/>
    <col min="5" max="5" width="6.6640625" style="25" customWidth="1"/>
    <col min="6" max="6" width="9.6640625" style="26" customWidth="1"/>
    <col min="7" max="7" width="9.6640625" style="27" customWidth="1"/>
    <col min="8" max="8" width="2.6640625" style="28" customWidth="1"/>
    <col min="9" max="9" width="6.6640625" style="29" customWidth="1"/>
    <col min="10" max="10" width="9.6640625" style="27" customWidth="1"/>
    <col min="11" max="11" width="2.5546875" style="27" hidden="1" customWidth="1"/>
    <col min="12" max="12" width="1.5546875" style="32" hidden="1" customWidth="1"/>
    <col min="13" max="13" width="0.77734375" style="13" customWidth="1"/>
    <col min="14" max="14" width="1.77734375" style="147" customWidth="1"/>
    <col min="15" max="26" width="8.77734375" style="13" customWidth="1"/>
    <col min="27" max="27" width="10.33203125" style="13" customWidth="1"/>
    <col min="28" max="28" width="8.33203125" style="13" customWidth="1"/>
    <col min="29" max="16384" width="9.77734375" style="13"/>
  </cols>
  <sheetData>
    <row r="1" spans="1:28" s="37" customFormat="1" ht="3" customHeight="1" thickBot="1">
      <c r="A1" s="36"/>
      <c r="B1" s="53" t="str">
        <f>+B48</f>
        <v>ü</v>
      </c>
      <c r="C1" s="54">
        <f>+C49</f>
        <v>0</v>
      </c>
      <c r="D1" s="54"/>
      <c r="E1" s="53">
        <f>+E49</f>
        <v>0</v>
      </c>
      <c r="F1" s="53"/>
      <c r="G1" s="54">
        <f>+G49</f>
        <v>0</v>
      </c>
      <c r="H1" s="53"/>
      <c r="I1" s="338" t="s">
        <v>168</v>
      </c>
      <c r="J1" s="54">
        <f>+J48</f>
        <v>0</v>
      </c>
      <c r="K1" s="198"/>
      <c r="L1" s="56"/>
      <c r="N1" s="190"/>
    </row>
    <row r="2" spans="1:28" ht="23.1" customHeight="1" thickTop="1" thickBot="1">
      <c r="A2" s="36"/>
      <c r="B2" s="296" t="str">
        <f>+EÜR!D26</f>
        <v>A05</v>
      </c>
      <c r="C2" s="1290" t="str">
        <f>+EÜR!F26</f>
        <v>Restbuchwert ausgeschiedener Güter</v>
      </c>
      <c r="D2" s="1291"/>
      <c r="E2" s="1291"/>
      <c r="F2" s="1291"/>
      <c r="G2" s="1291"/>
      <c r="H2" s="1291"/>
      <c r="I2" s="1292"/>
      <c r="J2" s="1227" t="s">
        <v>8</v>
      </c>
      <c r="K2" s="1228"/>
      <c r="L2" s="1229"/>
      <c r="M2" s="134"/>
      <c r="N2" s="190">
        <f>IF(OR(B48="x",N3=1),0,1)</f>
        <v>1</v>
      </c>
      <c r="O2" s="188">
        <f>+EOMONTH(EÜR!$I$3,-1)+1</f>
        <v>46023</v>
      </c>
      <c r="P2" s="188">
        <f t="shared" ref="P2:Z2" si="0">+O3+1</f>
        <v>46054</v>
      </c>
      <c r="Q2" s="188">
        <f t="shared" si="0"/>
        <v>46082</v>
      </c>
      <c r="R2" s="188">
        <f t="shared" si="0"/>
        <v>46113</v>
      </c>
      <c r="S2" s="188">
        <f t="shared" si="0"/>
        <v>46143</v>
      </c>
      <c r="T2" s="188">
        <f t="shared" si="0"/>
        <v>46174</v>
      </c>
      <c r="U2" s="188">
        <f t="shared" si="0"/>
        <v>46204</v>
      </c>
      <c r="V2" s="188">
        <f t="shared" si="0"/>
        <v>46235</v>
      </c>
      <c r="W2" s="188">
        <f t="shared" si="0"/>
        <v>46266</v>
      </c>
      <c r="X2" s="188">
        <f t="shared" si="0"/>
        <v>46296</v>
      </c>
      <c r="Y2" s="188">
        <f t="shared" si="0"/>
        <v>46327</v>
      </c>
      <c r="Z2" s="188">
        <f t="shared" si="0"/>
        <v>46357</v>
      </c>
      <c r="AA2" s="48"/>
    </row>
    <row r="3" spans="1:28" ht="14.25" customHeight="1" thickTop="1">
      <c r="A3" s="36" t="s">
        <v>5</v>
      </c>
      <c r="B3" s="58" t="s">
        <v>1</v>
      </c>
      <c r="C3" s="59" t="s">
        <v>6</v>
      </c>
      <c r="D3" s="60"/>
      <c r="E3" s="310" t="s">
        <v>7</v>
      </c>
      <c r="F3" s="61" t="s">
        <v>4</v>
      </c>
      <c r="G3" s="62" t="s">
        <v>31</v>
      </c>
      <c r="H3" s="63" t="s">
        <v>33</v>
      </c>
      <c r="I3" s="64" t="s">
        <v>32</v>
      </c>
      <c r="J3" s="275" t="s">
        <v>34</v>
      </c>
      <c r="K3" s="199">
        <v>0</v>
      </c>
      <c r="L3" s="65" t="s">
        <v>5</v>
      </c>
      <c r="M3" s="135" t="s">
        <v>5</v>
      </c>
      <c r="N3" s="222">
        <f>IF(SUBTOTAL(109,K3:K47)&lt;&gt;SUM(K3:K47),1,0)</f>
        <v>0</v>
      </c>
      <c r="O3" s="189">
        <f>EOMONTH(O2,0)</f>
        <v>46053</v>
      </c>
      <c r="P3" s="189">
        <f t="shared" ref="P3:Z3" si="1">EOMONTH(P2,0)</f>
        <v>46081</v>
      </c>
      <c r="Q3" s="189">
        <f t="shared" si="1"/>
        <v>46112</v>
      </c>
      <c r="R3" s="189">
        <f t="shared" si="1"/>
        <v>46142</v>
      </c>
      <c r="S3" s="189">
        <f t="shared" si="1"/>
        <v>46173</v>
      </c>
      <c r="T3" s="189">
        <f t="shared" si="1"/>
        <v>46203</v>
      </c>
      <c r="U3" s="189">
        <f t="shared" si="1"/>
        <v>46234</v>
      </c>
      <c r="V3" s="189">
        <f t="shared" si="1"/>
        <v>46265</v>
      </c>
      <c r="W3" s="189">
        <f t="shared" si="1"/>
        <v>46295</v>
      </c>
      <c r="X3" s="189">
        <f t="shared" si="1"/>
        <v>46326</v>
      </c>
      <c r="Y3" s="189">
        <f t="shared" si="1"/>
        <v>46356</v>
      </c>
      <c r="Z3" s="189">
        <f t="shared" si="1"/>
        <v>46387</v>
      </c>
      <c r="AB3" s="14"/>
    </row>
    <row r="4" spans="1:28" ht="13.35" customHeight="1">
      <c r="A4" s="50" t="s">
        <v>5</v>
      </c>
      <c r="B4" s="141"/>
      <c r="C4" s="80"/>
      <c r="D4" s="93"/>
      <c r="E4" s="226"/>
      <c r="F4" s="89"/>
      <c r="G4" s="81"/>
      <c r="H4" s="82"/>
      <c r="I4" s="83" t="str">
        <f t="shared" ref="I4:I44" si="2">IF(G4&lt;&gt;"",+G4-G4/(1+H4/100),"")</f>
        <v/>
      </c>
      <c r="J4" s="361" t="str">
        <f t="shared" ref="J4:J44" si="3">IF(G4&lt;&gt;0,+G4-I4,"")</f>
        <v/>
      </c>
      <c r="K4" s="200">
        <v>1</v>
      </c>
      <c r="L4" s="133">
        <f>IF(B4&lt;$O$2,0,IF(B4&lt;$P$2,1,IF(B4&lt;$Q$2,2,IF(B4&lt;$R$2,3,IF(B4&lt;$S$2,4,IF(B4&lt;$T$2,5,IF(B4&lt;$U$2,6,IF(B4&lt;$V$2,7,IF(B4&lt;$W$2,8,IF(B4&lt;$X$2,9,IF(B4&lt;$Y$2,10,IF(B4&lt;$Z$2,11,IF(B4&lt;=$Z$3,12,0)))))))))))))</f>
        <v>0</v>
      </c>
      <c r="M4" s="135" t="s">
        <v>5</v>
      </c>
      <c r="N4" s="190">
        <f>+N10+AA12+AA16</f>
        <v>0</v>
      </c>
      <c r="O4" s="251" t="s">
        <v>36</v>
      </c>
      <c r="P4" s="251" t="s">
        <v>37</v>
      </c>
      <c r="Q4" s="251" t="s">
        <v>38</v>
      </c>
      <c r="R4" s="251" t="s">
        <v>39</v>
      </c>
      <c r="S4" s="251" t="s">
        <v>40</v>
      </c>
      <c r="T4" s="251" t="s">
        <v>41</v>
      </c>
      <c r="U4" s="251" t="s">
        <v>42</v>
      </c>
      <c r="V4" s="251" t="s">
        <v>43</v>
      </c>
      <c r="W4" s="251" t="s">
        <v>44</v>
      </c>
      <c r="X4" s="251" t="s">
        <v>45</v>
      </c>
      <c r="Y4" s="251" t="s">
        <v>46</v>
      </c>
      <c r="Z4" s="251" t="s">
        <v>47</v>
      </c>
      <c r="AA4" s="1209" t="s">
        <v>255</v>
      </c>
      <c r="AB4" s="1210"/>
    </row>
    <row r="5" spans="1:28" ht="13.35" customHeight="1">
      <c r="A5" s="50" t="s">
        <v>5</v>
      </c>
      <c r="B5" s="141"/>
      <c r="C5" s="80"/>
      <c r="D5" s="93"/>
      <c r="E5" s="226"/>
      <c r="F5" s="89"/>
      <c r="G5" s="81"/>
      <c r="H5" s="82"/>
      <c r="I5" s="83" t="str">
        <f t="shared" si="2"/>
        <v/>
      </c>
      <c r="J5" s="361" t="str">
        <f t="shared" si="3"/>
        <v/>
      </c>
      <c r="K5" s="200">
        <v>2</v>
      </c>
      <c r="L5" s="133">
        <f t="shared" ref="L5:L44" si="4">IF(B5&lt;$O$2,0,IF(B5&lt;$P$2,1,IF(B5&lt;$Q$2,2,IF(B5&lt;$R$2,3,IF(B5&lt;$S$2,4,IF(B5&lt;$T$2,5,IF(B5&lt;$U$2,6,IF(B5&lt;$V$2,7,IF(B5&lt;$W$2,8,IF(B5&lt;$X$2,9,IF(B5&lt;$Y$2,10,IF(B5&lt;$Z$2,11,IF(B5&lt;=$Z$3,12,0)))))))))))))</f>
        <v>0</v>
      </c>
      <c r="M5" s="135" t="s">
        <v>5</v>
      </c>
      <c r="O5" s="252">
        <f>SUMIFS($G$3:$G$47,$L$3:$L$47,1,$F$3:$F$47,"Konto")</f>
        <v>0</v>
      </c>
      <c r="P5" s="252">
        <f>SUMIFS($G$3:$G$47,$L$3:$L$47,2,$F$3:$F$47,"Konto")</f>
        <v>0</v>
      </c>
      <c r="Q5" s="252">
        <f>SUMIFS($G$3:$G$47,$L$3:$L$47,3,$F$3:$F$47,"Konto")</f>
        <v>0</v>
      </c>
      <c r="R5" s="252">
        <f>SUMIFS($G$3:$G$47,$L$3:$L$47,4,$F$3:$F$47,"Konto")</f>
        <v>0</v>
      </c>
      <c r="S5" s="252">
        <f>SUMIFS($G$3:$G$47,$L$3:$L$47,5,$F$3:$F$47,"Konto")</f>
        <v>0</v>
      </c>
      <c r="T5" s="252">
        <f>SUMIFS($G$3:$G$47,$L$3:$L$47,6,$F$3:$F$47,"Konto")</f>
        <v>0</v>
      </c>
      <c r="U5" s="252">
        <f>SUMIFS($G$3:$G$47,$L$3:$L$47,7,$F$3:$F$47,"Konto")</f>
        <v>0</v>
      </c>
      <c r="V5" s="252">
        <f>SUMIFS($G$3:$G$47,$L$3:$L$47,8,$F$3:$F$47,"Konto")</f>
        <v>0</v>
      </c>
      <c r="W5" s="252">
        <f>SUMIFS($G$3:$G$47,$L$3:$L$47,9,$F$3:$F$47,"Konto")</f>
        <v>0</v>
      </c>
      <c r="X5" s="252">
        <f>SUMIFS($G$3:$G$47,$L$3:$L$47,10,$F$3:$F$47,"Konto")</f>
        <v>0</v>
      </c>
      <c r="Y5" s="252">
        <f>SUMIFS($G$3:$G$47,$L$3:$L$47,11,$F$3:$F$47,"Konto")</f>
        <v>0</v>
      </c>
      <c r="Z5" s="252">
        <f>SUMIFS($G$3:$G$47,$L$3:$L$47,12,$F$3:$F$47,"Konto")</f>
        <v>0</v>
      </c>
      <c r="AA5" s="253">
        <f>SUM(O5:Z5)</f>
        <v>0</v>
      </c>
      <c r="AB5" s="254" t="s">
        <v>140</v>
      </c>
    </row>
    <row r="6" spans="1:28" ht="13.35" customHeight="1">
      <c r="A6" s="50" t="s">
        <v>5</v>
      </c>
      <c r="B6" s="141"/>
      <c r="C6" s="80"/>
      <c r="D6" s="93"/>
      <c r="E6" s="226"/>
      <c r="F6" s="89"/>
      <c r="G6" s="81"/>
      <c r="H6" s="82"/>
      <c r="I6" s="83" t="str">
        <f t="shared" si="2"/>
        <v/>
      </c>
      <c r="J6" s="361" t="str">
        <f t="shared" si="3"/>
        <v/>
      </c>
      <c r="K6" s="200">
        <v>3</v>
      </c>
      <c r="L6" s="133">
        <f t="shared" si="4"/>
        <v>0</v>
      </c>
      <c r="M6" s="135" t="s">
        <v>5</v>
      </c>
      <c r="N6" s="190"/>
      <c r="O6" s="252">
        <f>SUMIFS($G$3:$G$47,$L$3:$L$47,1,$F$3:$F$47,"Kreditkarte")</f>
        <v>0</v>
      </c>
      <c r="P6" s="252">
        <f>SUMIFS($G$3:$G$47,$L$3:$L$47,2,$F$3:$F$47,"Kreditkarte")</f>
        <v>0</v>
      </c>
      <c r="Q6" s="252">
        <f>SUMIFS($G$3:$G$47,$L$3:$L$47,3,$F$3:$F$47,"Kreditkarte")</f>
        <v>0</v>
      </c>
      <c r="R6" s="252">
        <f>SUMIFS($G$3:$G$47,$L$3:$L$47,4,$F$3:$F$47,"Kreditkarte")</f>
        <v>0</v>
      </c>
      <c r="S6" s="252">
        <f>SUMIFS($G$3:$G$47,$L$3:$L$47,5,$F$3:$F$47,"Kreditkarte")</f>
        <v>0</v>
      </c>
      <c r="T6" s="252">
        <f>SUMIFS($G$3:$G$47,$L$3:$L$47,6,$F$3:$F$47,"Kreditkarte")</f>
        <v>0</v>
      </c>
      <c r="U6" s="252">
        <f>SUMIFS($G$3:$G$47,$L$3:$L$47,7,$F$3:$F$47,"Kreditkarte")</f>
        <v>0</v>
      </c>
      <c r="V6" s="252">
        <f>SUMIFS($G$3:$G$47,$L$3:$L$47,8,$F$3:$F$47,"Kreditkarte")</f>
        <v>0</v>
      </c>
      <c r="W6" s="252">
        <f>SUMIFS($G$3:$G$47,$L$3:$L$47,9,$F$3:$F$47,"Kreditkarte")</f>
        <v>0</v>
      </c>
      <c r="X6" s="252">
        <f>SUMIFS($G$3:$G$47,$L$3:$L$47,10,$F$3:$F$47,"Kreditkarte")</f>
        <v>0</v>
      </c>
      <c r="Y6" s="252">
        <f>SUMIFS($G$3:$G$47,$L$3:$L$47,11,$F$3:$F$47,"Kreditkarte")</f>
        <v>0</v>
      </c>
      <c r="Z6" s="252">
        <f>SUMIFS($G$3:$G$47,$L$3:$L$47,12,$F$3:$F$47,"Kreditkarte")</f>
        <v>0</v>
      </c>
      <c r="AA6" s="255">
        <f t="shared" ref="AA6:AA8" si="5">SUM(O6:Z6)</f>
        <v>0</v>
      </c>
      <c r="AB6" s="256" t="s">
        <v>142</v>
      </c>
    </row>
    <row r="7" spans="1:28" ht="13.35" customHeight="1">
      <c r="A7" s="50" t="s">
        <v>5</v>
      </c>
      <c r="B7" s="141"/>
      <c r="C7" s="80"/>
      <c r="D7" s="93"/>
      <c r="E7" s="226"/>
      <c r="F7" s="89"/>
      <c r="G7" s="81"/>
      <c r="H7" s="82"/>
      <c r="I7" s="83" t="str">
        <f t="shared" si="2"/>
        <v/>
      </c>
      <c r="J7" s="361" t="str">
        <f t="shared" si="3"/>
        <v/>
      </c>
      <c r="K7" s="200">
        <v>4</v>
      </c>
      <c r="L7" s="133">
        <f t="shared" si="4"/>
        <v>0</v>
      </c>
      <c r="M7" s="135" t="s">
        <v>5</v>
      </c>
      <c r="O7" s="252">
        <f>SUMIFS($G$3:$G$47,$L$3:$L$47,1,$F$3:$F$47,"Geldbeutel")</f>
        <v>0</v>
      </c>
      <c r="P7" s="252">
        <f>SUMIFS($G$3:$G$47,$L$3:$L$47,2,$F$3:$F$47,"Geldbeutel")</f>
        <v>0</v>
      </c>
      <c r="Q7" s="252">
        <f>SUMIFS($G$3:$G$47,$L$3:$L$47,3,$F$3:$F$47,"Geldbeutel")</f>
        <v>0</v>
      </c>
      <c r="R7" s="252">
        <f>SUMIFS($G$3:$G$47,$L$3:$L$47,4,$F$3:$F$47,"Geldbeutel")</f>
        <v>0</v>
      </c>
      <c r="S7" s="252">
        <f>SUMIFS($G$3:$G$47,$L$3:$L$47,5,$F$3:$F$47,"Geldbeutel")</f>
        <v>0</v>
      </c>
      <c r="T7" s="252">
        <f>SUMIFS($G$3:$G$47,$L$3:$L$47,6,$F$3:$F$47,"Geldbeutel")</f>
        <v>0</v>
      </c>
      <c r="U7" s="252">
        <f>SUMIFS($G$3:$G$47,$L$3:$L$47,7,$F$3:$F$47,"Geldbeutel")</f>
        <v>0</v>
      </c>
      <c r="V7" s="252">
        <f>SUMIFS($G$3:$G$47,$L$3:$L$47,8,$F$3:$F$47,"Geldbeutel")</f>
        <v>0</v>
      </c>
      <c r="W7" s="252">
        <f>SUMIFS($G$3:$G$47,$L$3:$L$47,9,$F$3:$F$47,"Geldbeutel")</f>
        <v>0</v>
      </c>
      <c r="X7" s="252">
        <f>SUMIFS($G$3:$G$47,$L$3:$L$47,10,$F$3:$F$47,"Geldbeutel")</f>
        <v>0</v>
      </c>
      <c r="Y7" s="252">
        <f>SUMIFS($G$3:$G$47,$L$3:$L$47,11,$F$3:$F$47,"Geldbeutel")</f>
        <v>0</v>
      </c>
      <c r="Z7" s="252">
        <f>SUMIFS($G$3:$G$47,$L$3:$L$47,12,$F$3:$F$47,"Geldbeutel")</f>
        <v>0</v>
      </c>
      <c r="AA7" s="253">
        <f t="shared" si="5"/>
        <v>0</v>
      </c>
      <c r="AB7" s="254" t="s">
        <v>139</v>
      </c>
    </row>
    <row r="8" spans="1:28" ht="13.35" customHeight="1">
      <c r="A8" s="50" t="s">
        <v>5</v>
      </c>
      <c r="B8" s="141"/>
      <c r="C8" s="80"/>
      <c r="D8" s="93"/>
      <c r="E8" s="226"/>
      <c r="F8" s="89"/>
      <c r="G8" s="81"/>
      <c r="H8" s="82"/>
      <c r="I8" s="83" t="str">
        <f t="shared" si="2"/>
        <v/>
      </c>
      <c r="J8" s="361" t="str">
        <f t="shared" si="3"/>
        <v/>
      </c>
      <c r="K8" s="200">
        <v>5</v>
      </c>
      <c r="L8" s="133">
        <f t="shared" si="4"/>
        <v>0</v>
      </c>
      <c r="M8" s="135" t="s">
        <v>5</v>
      </c>
      <c r="O8" s="252">
        <f>SUMIFS($G$3:$G$47,$L$3:$L$47,1,$F$3:$F$47,"X")</f>
        <v>0</v>
      </c>
      <c r="P8" s="252">
        <f>SUMIFS($G$3:$G$47,$L$3:$L$47,2,$F$3:$F$47,"X")</f>
        <v>0</v>
      </c>
      <c r="Q8" s="252">
        <f>SUMIFS($G$3:$G$47,$L$3:$L$47,3,$F$3:$F$47,"X")</f>
        <v>0</v>
      </c>
      <c r="R8" s="252">
        <f>SUMIFS($G$3:$G$47,$L$3:$L$47,4,$F$3:$F$47,"X")</f>
        <v>0</v>
      </c>
      <c r="S8" s="252">
        <f>SUMIFS($G$3:$G$47,$L$3:$L$47,5,$F$3:$F$47,"X")</f>
        <v>0</v>
      </c>
      <c r="T8" s="252">
        <f>SUMIFS($G$3:$G$47,$L$3:$L$47,6,$F$3:$F$47,"X")</f>
        <v>0</v>
      </c>
      <c r="U8" s="252">
        <f>SUMIFS($G$3:$G$47,$L$3:$L$47,7,$F$3:$F$47,"X")</f>
        <v>0</v>
      </c>
      <c r="V8" s="252">
        <f>SUMIFS($G$3:$G$47,$L$3:$L$47,8,$F$3:$F$47,"X")</f>
        <v>0</v>
      </c>
      <c r="W8" s="252">
        <f>SUMIFS($G$3:$G$47,$L$3:$L$47,9,$F$3:$F$47,"X")</f>
        <v>0</v>
      </c>
      <c r="X8" s="252">
        <f>SUMIFS($G$3:$G$47,$L$3:$L$47,10,$F$3:$F$47,"X")</f>
        <v>0</v>
      </c>
      <c r="Y8" s="252">
        <f>SUMIFS($G$3:$G$47,$L$3:$L$47,11,$F$3:$F$47,"X")</f>
        <v>0</v>
      </c>
      <c r="Z8" s="252">
        <f>SUMIFS($G$3:$G$47,$L$3:$L$47,12,$F$3:$F$47,"X")</f>
        <v>0</v>
      </c>
      <c r="AA8" s="255">
        <f t="shared" si="5"/>
        <v>0</v>
      </c>
      <c r="AB8" s="256" t="s">
        <v>192</v>
      </c>
    </row>
    <row r="9" spans="1:28" ht="13.35" customHeight="1">
      <c r="A9" s="50" t="s">
        <v>5</v>
      </c>
      <c r="B9" s="141"/>
      <c r="C9" s="80"/>
      <c r="D9" s="93"/>
      <c r="E9" s="226"/>
      <c r="F9" s="89"/>
      <c r="G9" s="81"/>
      <c r="H9" s="82"/>
      <c r="I9" s="83" t="str">
        <f t="shared" si="2"/>
        <v/>
      </c>
      <c r="J9" s="361" t="str">
        <f t="shared" si="3"/>
        <v/>
      </c>
      <c r="K9" s="200">
        <v>6</v>
      </c>
      <c r="L9" s="133">
        <f t="shared" si="4"/>
        <v>0</v>
      </c>
      <c r="M9" s="135" t="s">
        <v>5</v>
      </c>
      <c r="N9" s="191">
        <f>IF(OR(AND(AA14&lt;&gt;0,B48="x"),(O14+AA13)&lt;&gt;H48),1,0)</f>
        <v>0</v>
      </c>
      <c r="O9" s="257">
        <f>SUM(O5:O8)</f>
        <v>0</v>
      </c>
      <c r="P9" s="257">
        <f t="shared" ref="P9:Z9" si="6">SUM(P5:P8)</f>
        <v>0</v>
      </c>
      <c r="Q9" s="257">
        <f t="shared" si="6"/>
        <v>0</v>
      </c>
      <c r="R9" s="257">
        <f t="shared" si="6"/>
        <v>0</v>
      </c>
      <c r="S9" s="257">
        <f t="shared" si="6"/>
        <v>0</v>
      </c>
      <c r="T9" s="257">
        <f t="shared" si="6"/>
        <v>0</v>
      </c>
      <c r="U9" s="257">
        <f t="shared" si="6"/>
        <v>0</v>
      </c>
      <c r="V9" s="257">
        <f t="shared" si="6"/>
        <v>0</v>
      </c>
      <c r="W9" s="257">
        <f t="shared" si="6"/>
        <v>0</v>
      </c>
      <c r="X9" s="257">
        <f t="shared" si="6"/>
        <v>0</v>
      </c>
      <c r="Y9" s="257">
        <f t="shared" si="6"/>
        <v>0</v>
      </c>
      <c r="Z9" s="257">
        <f t="shared" si="6"/>
        <v>0</v>
      </c>
      <c r="AA9" s="1211" t="s">
        <v>197</v>
      </c>
      <c r="AB9" s="1212"/>
    </row>
    <row r="10" spans="1:28" ht="13.35" customHeight="1">
      <c r="A10" s="50" t="s">
        <v>5</v>
      </c>
      <c r="B10" s="141"/>
      <c r="C10" s="80"/>
      <c r="D10" s="93"/>
      <c r="E10" s="226"/>
      <c r="F10" s="89"/>
      <c r="G10" s="81"/>
      <c r="H10" s="82"/>
      <c r="I10" s="83" t="str">
        <f t="shared" si="2"/>
        <v/>
      </c>
      <c r="J10" s="361" t="str">
        <f t="shared" si="3"/>
        <v/>
      </c>
      <c r="K10" s="200">
        <v>7</v>
      </c>
      <c r="L10" s="133">
        <f t="shared" si="4"/>
        <v>0</v>
      </c>
      <c r="M10" s="135" t="s">
        <v>5</v>
      </c>
      <c r="N10" s="259">
        <f>IF(O10+AA10&lt;&gt;G48,1,0)</f>
        <v>0</v>
      </c>
      <c r="O10" s="1230">
        <f>SUM(O5:Z8)</f>
        <v>0</v>
      </c>
      <c r="P10" s="1231"/>
      <c r="Q10" s="1231"/>
      <c r="R10" s="1231"/>
      <c r="S10" s="1231"/>
      <c r="T10" s="1231"/>
      <c r="U10" s="1231"/>
      <c r="V10" s="1231"/>
      <c r="W10" s="1231"/>
      <c r="X10" s="1231"/>
      <c r="Y10" s="1231"/>
      <c r="Z10" s="1232"/>
      <c r="AA10" s="292">
        <f>+G48-AA7-AA6-AA5-AA8</f>
        <v>0</v>
      </c>
      <c r="AB10" s="293" t="s">
        <v>205</v>
      </c>
    </row>
    <row r="11" spans="1:28" ht="13.35" customHeight="1">
      <c r="A11" s="50" t="s">
        <v>5</v>
      </c>
      <c r="B11" s="141"/>
      <c r="C11" s="80"/>
      <c r="D11" s="93"/>
      <c r="E11" s="226"/>
      <c r="F11" s="89"/>
      <c r="G11" s="81"/>
      <c r="H11" s="82"/>
      <c r="I11" s="83" t="str">
        <f t="shared" si="2"/>
        <v/>
      </c>
      <c r="J11" s="361" t="str">
        <f t="shared" si="3"/>
        <v/>
      </c>
      <c r="K11" s="200">
        <v>8</v>
      </c>
      <c r="L11" s="133">
        <f t="shared" si="4"/>
        <v>0</v>
      </c>
      <c r="M11" s="135" t="s">
        <v>5</v>
      </c>
      <c r="O11" s="1219" t="str">
        <f>IF(N4&gt;0,"Fehler!","")</f>
        <v/>
      </c>
      <c r="P11" s="1219"/>
      <c r="Q11" s="1219"/>
      <c r="R11" s="1219"/>
      <c r="S11" s="1219"/>
      <c r="T11" s="1219"/>
      <c r="U11" s="1219"/>
      <c r="V11" s="1219"/>
      <c r="W11" s="1219"/>
      <c r="X11" s="1219"/>
      <c r="Y11" s="1219"/>
      <c r="Z11" s="1219"/>
    </row>
    <row r="12" spans="1:28" ht="13.35" customHeight="1">
      <c r="A12" s="50" t="s">
        <v>5</v>
      </c>
      <c r="B12" s="141"/>
      <c r="C12" s="80"/>
      <c r="D12" s="93"/>
      <c r="E12" s="226"/>
      <c r="F12" s="89"/>
      <c r="G12" s="81"/>
      <c r="H12" s="82"/>
      <c r="I12" s="83" t="str">
        <f t="shared" si="2"/>
        <v/>
      </c>
      <c r="J12" s="361" t="str">
        <f t="shared" si="3"/>
        <v/>
      </c>
      <c r="K12" s="200">
        <v>9</v>
      </c>
      <c r="L12" s="133">
        <f t="shared" si="4"/>
        <v>0</v>
      </c>
      <c r="M12" s="135" t="s">
        <v>5</v>
      </c>
      <c r="O12" s="203" t="s">
        <v>36</v>
      </c>
      <c r="P12" s="203" t="s">
        <v>37</v>
      </c>
      <c r="Q12" s="203" t="s">
        <v>38</v>
      </c>
      <c r="R12" s="203" t="s">
        <v>39</v>
      </c>
      <c r="S12" s="203" t="s">
        <v>40</v>
      </c>
      <c r="T12" s="203" t="s">
        <v>41</v>
      </c>
      <c r="U12" s="203" t="s">
        <v>42</v>
      </c>
      <c r="V12" s="203" t="s">
        <v>43</v>
      </c>
      <c r="W12" s="203" t="s">
        <v>44</v>
      </c>
      <c r="X12" s="203" t="s">
        <v>45</v>
      </c>
      <c r="Y12" s="203" t="s">
        <v>46</v>
      </c>
      <c r="Z12" s="203" t="s">
        <v>47</v>
      </c>
      <c r="AA12" s="221">
        <f>IF(O14+AA13&lt;&gt;H48,1,0)</f>
        <v>0</v>
      </c>
    </row>
    <row r="13" spans="1:28" ht="13.35" customHeight="1">
      <c r="A13" s="50" t="s">
        <v>5</v>
      </c>
      <c r="B13" s="141"/>
      <c r="C13" s="80"/>
      <c r="D13" s="93"/>
      <c r="E13" s="226"/>
      <c r="F13" s="89"/>
      <c r="G13" s="81"/>
      <c r="H13" s="82"/>
      <c r="I13" s="83" t="str">
        <f t="shared" si="2"/>
        <v/>
      </c>
      <c r="J13" s="361" t="str">
        <f t="shared" si="3"/>
        <v/>
      </c>
      <c r="K13" s="200">
        <v>10</v>
      </c>
      <c r="L13" s="133">
        <f t="shared" si="4"/>
        <v>0</v>
      </c>
      <c r="M13" s="135" t="s">
        <v>5</v>
      </c>
      <c r="O13" s="187">
        <f>SUMIF($L$3:$L$47,1,$I$3:$I$47)</f>
        <v>0</v>
      </c>
      <c r="P13" s="187">
        <f>SUMIF($L$3:$L$47,2,$I$3:$I$47)</f>
        <v>0</v>
      </c>
      <c r="Q13" s="187">
        <f>SUMIF($L$3:$L$47,3,$I$3:$I$47)</f>
        <v>0</v>
      </c>
      <c r="R13" s="187">
        <f>SUMIF($L$3:$L$47,4,$I$3:$I$47)</f>
        <v>0</v>
      </c>
      <c r="S13" s="187">
        <f>SUMIF($L$3:$L$47,5,$I$3:$I$47)</f>
        <v>0</v>
      </c>
      <c r="T13" s="187">
        <f>SUMIF($L$3:$L$47,6,$I$3:$I$47)</f>
        <v>0</v>
      </c>
      <c r="U13" s="187">
        <f>SUMIF($L$3:$L$47,7,$I$3:$I$47)</f>
        <v>0</v>
      </c>
      <c r="V13" s="187">
        <f>SUMIF($L$3:$L$47,8,$I$3:$I$47)</f>
        <v>0</v>
      </c>
      <c r="W13" s="187">
        <f>SUMIF($L$3:$L$47,9,$I$3:$I$47)</f>
        <v>0</v>
      </c>
      <c r="X13" s="187">
        <f>SUMIF($L$3:$L$47,10,$I$3:$I$47)</f>
        <v>0</v>
      </c>
      <c r="Y13" s="187">
        <f>SUMIF($L$3:$L$47,11,$I$3:$I$47)</f>
        <v>0</v>
      </c>
      <c r="Z13" s="187">
        <f>SUMIF($L$3:$L$47,12,$I$3:$I$47)</f>
        <v>0</v>
      </c>
      <c r="AA13" s="1220">
        <f>SUMIF($L$3:$L$47,0,$I$3:$I$47)</f>
        <v>0</v>
      </c>
      <c r="AB13" s="1221"/>
    </row>
    <row r="14" spans="1:28" ht="13.35" customHeight="1">
      <c r="A14" s="50" t="s">
        <v>5</v>
      </c>
      <c r="B14" s="141"/>
      <c r="C14" s="80"/>
      <c r="D14" s="93"/>
      <c r="E14" s="226"/>
      <c r="F14" s="89"/>
      <c r="G14" s="81"/>
      <c r="H14" s="82"/>
      <c r="I14" s="83" t="str">
        <f t="shared" si="2"/>
        <v/>
      </c>
      <c r="J14" s="361" t="str">
        <f t="shared" si="3"/>
        <v/>
      </c>
      <c r="K14" s="200">
        <v>11</v>
      </c>
      <c r="L14" s="133">
        <f t="shared" si="4"/>
        <v>0</v>
      </c>
      <c r="M14" s="135" t="s">
        <v>5</v>
      </c>
      <c r="O14" s="1299">
        <f>SUM(O13:Z13)</f>
        <v>0</v>
      </c>
      <c r="P14" s="1300"/>
      <c r="Q14" s="1300"/>
      <c r="R14" s="1300"/>
      <c r="S14" s="1300"/>
      <c r="T14" s="1300"/>
      <c r="U14" s="1300"/>
      <c r="V14" s="1300"/>
      <c r="W14" s="1300"/>
      <c r="X14" s="1300"/>
      <c r="Y14" s="1300"/>
      <c r="Z14" s="1301"/>
      <c r="AA14" s="1222">
        <f>SUM(O13:Z13)+AA13</f>
        <v>0</v>
      </c>
      <c r="AB14" s="1223"/>
    </row>
    <row r="15" spans="1:28" ht="13.35" customHeight="1">
      <c r="A15" s="50" t="s">
        <v>5</v>
      </c>
      <c r="B15" s="141"/>
      <c r="C15" s="260"/>
      <c r="D15" s="93"/>
      <c r="E15" s="226"/>
      <c r="F15" s="89"/>
      <c r="G15" s="81"/>
      <c r="H15" s="82"/>
      <c r="I15" s="83" t="str">
        <f t="shared" si="2"/>
        <v/>
      </c>
      <c r="J15" s="361" t="str">
        <f t="shared" si="3"/>
        <v/>
      </c>
      <c r="K15" s="200">
        <v>12</v>
      </c>
      <c r="L15" s="133">
        <f t="shared" si="4"/>
        <v>0</v>
      </c>
      <c r="M15" s="135" t="s">
        <v>5</v>
      </c>
      <c r="O15" s="244"/>
      <c r="P15" s="244"/>
      <c r="Q15" s="244"/>
      <c r="R15" s="244"/>
      <c r="S15" s="244"/>
      <c r="T15" s="244"/>
      <c r="U15" s="244"/>
      <c r="V15" s="244"/>
      <c r="W15" s="244"/>
      <c r="X15" s="244"/>
      <c r="Y15" s="244"/>
      <c r="Z15" s="244"/>
      <c r="AA15" s="244"/>
      <c r="AB15" s="244"/>
    </row>
    <row r="16" spans="1:28" ht="13.35" customHeight="1">
      <c r="A16" s="50" t="s">
        <v>5</v>
      </c>
      <c r="B16" s="141"/>
      <c r="C16" s="80"/>
      <c r="D16" s="93"/>
      <c r="E16" s="226"/>
      <c r="F16" s="89"/>
      <c r="G16" s="81"/>
      <c r="H16" s="82"/>
      <c r="I16" s="83" t="str">
        <f t="shared" si="2"/>
        <v/>
      </c>
      <c r="J16" s="361" t="str">
        <f t="shared" si="3"/>
        <v/>
      </c>
      <c r="K16" s="200">
        <v>13</v>
      </c>
      <c r="L16" s="133">
        <f t="shared" si="4"/>
        <v>0</v>
      </c>
      <c r="M16" s="135" t="s">
        <v>5</v>
      </c>
      <c r="O16" s="244"/>
      <c r="P16" s="244"/>
      <c r="Q16" s="244"/>
      <c r="R16" s="244"/>
      <c r="S16" s="244"/>
      <c r="T16" s="244"/>
      <c r="U16" s="244"/>
      <c r="V16" s="244"/>
      <c r="W16" s="244"/>
      <c r="X16" s="244"/>
      <c r="Y16" s="244"/>
      <c r="Z16" s="244"/>
      <c r="AA16" s="244"/>
      <c r="AB16" s="244"/>
    </row>
    <row r="17" spans="1:28" ht="13.35" customHeight="1">
      <c r="A17" s="50" t="s">
        <v>5</v>
      </c>
      <c r="B17" s="141"/>
      <c r="C17" s="80"/>
      <c r="D17" s="93"/>
      <c r="E17" s="226"/>
      <c r="F17" s="89"/>
      <c r="G17" s="81"/>
      <c r="H17" s="82"/>
      <c r="I17" s="83" t="str">
        <f t="shared" si="2"/>
        <v/>
      </c>
      <c r="J17" s="361" t="str">
        <f t="shared" si="3"/>
        <v/>
      </c>
      <c r="K17" s="200">
        <v>14</v>
      </c>
      <c r="L17" s="133">
        <f t="shared" si="4"/>
        <v>0</v>
      </c>
      <c r="M17" s="135" t="s">
        <v>5</v>
      </c>
      <c r="O17" s="244"/>
      <c r="P17" s="244"/>
      <c r="Q17" s="244"/>
      <c r="R17" s="244"/>
      <c r="S17" s="244"/>
      <c r="T17" s="244"/>
      <c r="U17" s="244"/>
      <c r="V17" s="244"/>
      <c r="W17" s="244"/>
      <c r="X17" s="244"/>
      <c r="Y17" s="244"/>
      <c r="Z17" s="244"/>
      <c r="AA17" s="244"/>
      <c r="AB17" s="244"/>
    </row>
    <row r="18" spans="1:28" ht="13.35" customHeight="1">
      <c r="A18" s="50" t="s">
        <v>5</v>
      </c>
      <c r="B18" s="141"/>
      <c r="C18" s="80"/>
      <c r="D18" s="93"/>
      <c r="E18" s="226"/>
      <c r="F18" s="89"/>
      <c r="G18" s="81"/>
      <c r="H18" s="82"/>
      <c r="I18" s="83" t="str">
        <f t="shared" si="2"/>
        <v/>
      </c>
      <c r="J18" s="361" t="str">
        <f t="shared" si="3"/>
        <v/>
      </c>
      <c r="K18" s="200">
        <v>15</v>
      </c>
      <c r="L18" s="133">
        <f t="shared" si="4"/>
        <v>0</v>
      </c>
      <c r="M18" s="135" t="s">
        <v>5</v>
      </c>
      <c r="O18" s="244"/>
      <c r="P18" s="244"/>
      <c r="Q18" s="244"/>
      <c r="R18" s="244"/>
      <c r="S18" s="244"/>
      <c r="T18" s="244"/>
      <c r="U18" s="244"/>
      <c r="V18" s="244"/>
      <c r="W18" s="244"/>
      <c r="X18" s="244"/>
      <c r="Y18" s="244"/>
      <c r="Z18" s="244"/>
      <c r="AA18" s="244"/>
      <c r="AB18" s="244"/>
    </row>
    <row r="19" spans="1:28" ht="13.35" customHeight="1">
      <c r="A19" s="50" t="s">
        <v>5</v>
      </c>
      <c r="B19" s="141"/>
      <c r="C19" s="80"/>
      <c r="D19" s="93"/>
      <c r="E19" s="226"/>
      <c r="F19" s="89"/>
      <c r="G19" s="81"/>
      <c r="H19" s="82"/>
      <c r="I19" s="83" t="str">
        <f t="shared" si="2"/>
        <v/>
      </c>
      <c r="J19" s="361" t="str">
        <f t="shared" si="3"/>
        <v/>
      </c>
      <c r="K19" s="200">
        <v>16</v>
      </c>
      <c r="L19" s="133">
        <f t="shared" si="4"/>
        <v>0</v>
      </c>
      <c r="M19" s="135" t="s">
        <v>5</v>
      </c>
      <c r="O19" s="244"/>
      <c r="P19" s="244"/>
      <c r="Q19" s="244"/>
      <c r="R19" s="244"/>
      <c r="S19" s="244"/>
      <c r="T19" s="244"/>
      <c r="U19" s="244"/>
      <c r="V19" s="244"/>
      <c r="W19" s="244"/>
      <c r="X19" s="244"/>
      <c r="Y19" s="244"/>
      <c r="Z19" s="244"/>
      <c r="AA19" s="244"/>
      <c r="AB19" s="244"/>
    </row>
    <row r="20" spans="1:28" ht="13.35" customHeight="1">
      <c r="A20" s="50" t="s">
        <v>5</v>
      </c>
      <c r="B20" s="141"/>
      <c r="C20" s="80"/>
      <c r="D20" s="93"/>
      <c r="E20" s="226"/>
      <c r="F20" s="89"/>
      <c r="G20" s="81"/>
      <c r="H20" s="82"/>
      <c r="I20" s="83" t="str">
        <f t="shared" si="2"/>
        <v/>
      </c>
      <c r="J20" s="361" t="str">
        <f t="shared" si="3"/>
        <v/>
      </c>
      <c r="K20" s="200">
        <v>17</v>
      </c>
      <c r="L20" s="133">
        <f t="shared" si="4"/>
        <v>0</v>
      </c>
      <c r="M20" s="135" t="s">
        <v>5</v>
      </c>
      <c r="O20" s="244"/>
      <c r="P20" s="244"/>
      <c r="Q20" s="244"/>
      <c r="R20" s="244"/>
      <c r="S20" s="244"/>
      <c r="T20" s="244"/>
      <c r="U20" s="244"/>
      <c r="V20" s="244"/>
      <c r="W20" s="244"/>
      <c r="X20" s="244"/>
      <c r="Y20" s="244"/>
      <c r="Z20" s="244"/>
      <c r="AA20" s="244"/>
      <c r="AB20" s="244"/>
    </row>
    <row r="21" spans="1:28" ht="13.35" customHeight="1">
      <c r="A21" s="50" t="s">
        <v>5</v>
      </c>
      <c r="B21" s="141"/>
      <c r="C21" s="80"/>
      <c r="D21" s="93"/>
      <c r="E21" s="226"/>
      <c r="F21" s="89"/>
      <c r="G21" s="81"/>
      <c r="H21" s="82"/>
      <c r="I21" s="83" t="str">
        <f t="shared" si="2"/>
        <v/>
      </c>
      <c r="J21" s="361" t="str">
        <f t="shared" si="3"/>
        <v/>
      </c>
      <c r="K21" s="200">
        <v>18</v>
      </c>
      <c r="L21" s="133">
        <f t="shared" si="4"/>
        <v>0</v>
      </c>
      <c r="M21" s="135" t="s">
        <v>5</v>
      </c>
      <c r="O21" s="244"/>
      <c r="P21" s="244"/>
      <c r="Q21" s="244"/>
      <c r="R21" s="244"/>
      <c r="S21" s="244"/>
      <c r="T21" s="244"/>
      <c r="U21" s="244"/>
      <c r="V21" s="244"/>
      <c r="W21" s="244"/>
      <c r="X21" s="244"/>
      <c r="Y21" s="244"/>
      <c r="Z21" s="244"/>
      <c r="AA21" s="244"/>
      <c r="AB21" s="244"/>
    </row>
    <row r="22" spans="1:28" ht="13.35" customHeight="1">
      <c r="A22" s="50" t="s">
        <v>5</v>
      </c>
      <c r="B22" s="141"/>
      <c r="C22" s="80"/>
      <c r="D22" s="93"/>
      <c r="E22" s="226"/>
      <c r="F22" s="89"/>
      <c r="G22" s="81"/>
      <c r="H22" s="82"/>
      <c r="I22" s="83" t="str">
        <f t="shared" si="2"/>
        <v/>
      </c>
      <c r="J22" s="361" t="str">
        <f t="shared" si="3"/>
        <v/>
      </c>
      <c r="K22" s="200">
        <v>19</v>
      </c>
      <c r="L22" s="133">
        <f t="shared" si="4"/>
        <v>0</v>
      </c>
      <c r="M22" s="135" t="s">
        <v>5</v>
      </c>
      <c r="O22" s="244"/>
      <c r="P22" s="244"/>
      <c r="Q22" s="244"/>
      <c r="R22" s="244"/>
      <c r="S22" s="244"/>
      <c r="T22" s="244"/>
      <c r="U22" s="244"/>
      <c r="V22" s="244"/>
      <c r="W22" s="244"/>
      <c r="X22" s="244"/>
      <c r="Y22" s="244"/>
      <c r="Z22" s="244"/>
      <c r="AA22" s="244"/>
      <c r="AB22" s="244"/>
    </row>
    <row r="23" spans="1:28" ht="13.35" customHeight="1">
      <c r="A23" s="50" t="s">
        <v>5</v>
      </c>
      <c r="B23" s="141"/>
      <c r="C23" s="80"/>
      <c r="D23" s="94"/>
      <c r="E23" s="226"/>
      <c r="F23" s="89"/>
      <c r="G23" s="81"/>
      <c r="H23" s="82"/>
      <c r="I23" s="83" t="str">
        <f t="shared" si="2"/>
        <v/>
      </c>
      <c r="J23" s="361" t="str">
        <f t="shared" si="3"/>
        <v/>
      </c>
      <c r="K23" s="200">
        <v>20</v>
      </c>
      <c r="L23" s="133">
        <f t="shared" si="4"/>
        <v>0</v>
      </c>
      <c r="M23" s="135" t="s">
        <v>5</v>
      </c>
      <c r="O23" s="244"/>
      <c r="P23" s="244"/>
      <c r="Q23" s="244"/>
      <c r="R23" s="244"/>
      <c r="S23" s="244"/>
      <c r="T23" s="244"/>
      <c r="U23" s="244"/>
      <c r="V23" s="244"/>
      <c r="W23" s="244"/>
      <c r="X23" s="244"/>
      <c r="Y23" s="244"/>
      <c r="Z23" s="244"/>
      <c r="AA23" s="244"/>
      <c r="AB23" s="244"/>
    </row>
    <row r="24" spans="1:28" ht="13.35" customHeight="1">
      <c r="A24" s="50" t="s">
        <v>5</v>
      </c>
      <c r="B24" s="141"/>
      <c r="C24" s="80"/>
      <c r="D24" s="93"/>
      <c r="E24" s="226"/>
      <c r="F24" s="89"/>
      <c r="G24" s="81"/>
      <c r="H24" s="82"/>
      <c r="I24" s="83" t="str">
        <f t="shared" si="2"/>
        <v/>
      </c>
      <c r="J24" s="361" t="str">
        <f t="shared" si="3"/>
        <v/>
      </c>
      <c r="K24" s="200">
        <v>21</v>
      </c>
      <c r="L24" s="133">
        <f t="shared" si="4"/>
        <v>0</v>
      </c>
      <c r="M24" s="135" t="s">
        <v>5</v>
      </c>
      <c r="O24" s="244"/>
      <c r="P24" s="244"/>
      <c r="Q24" s="244"/>
      <c r="R24" s="244"/>
      <c r="S24" s="244"/>
      <c r="T24" s="244"/>
      <c r="U24" s="244"/>
      <c r="V24" s="244"/>
      <c r="W24" s="244"/>
      <c r="X24" s="244"/>
      <c r="Y24" s="244"/>
      <c r="Z24" s="244"/>
      <c r="AA24" s="244"/>
      <c r="AB24" s="244"/>
    </row>
    <row r="25" spans="1:28" ht="13.35" customHeight="1">
      <c r="A25" s="50" t="s">
        <v>5</v>
      </c>
      <c r="B25" s="141"/>
      <c r="C25" s="80"/>
      <c r="D25" s="93"/>
      <c r="E25" s="226"/>
      <c r="F25" s="89"/>
      <c r="G25" s="81"/>
      <c r="H25" s="82"/>
      <c r="I25" s="83" t="str">
        <f t="shared" si="2"/>
        <v/>
      </c>
      <c r="J25" s="361" t="str">
        <f t="shared" si="3"/>
        <v/>
      </c>
      <c r="K25" s="200">
        <v>22</v>
      </c>
      <c r="L25" s="133">
        <f t="shared" si="4"/>
        <v>0</v>
      </c>
      <c r="M25" s="135" t="s">
        <v>5</v>
      </c>
      <c r="O25" s="244"/>
      <c r="P25" s="244"/>
      <c r="Q25" s="244"/>
      <c r="R25" s="244"/>
      <c r="S25" s="244"/>
      <c r="T25" s="244"/>
      <c r="U25" s="244"/>
      <c r="V25" s="244"/>
      <c r="W25" s="244"/>
      <c r="X25" s="244"/>
      <c r="Y25" s="244"/>
      <c r="Z25" s="244"/>
      <c r="AA25" s="244"/>
      <c r="AB25" s="244"/>
    </row>
    <row r="26" spans="1:28" ht="13.35" customHeight="1">
      <c r="A26" s="50" t="s">
        <v>5</v>
      </c>
      <c r="B26" s="141"/>
      <c r="C26" s="80"/>
      <c r="D26" s="93"/>
      <c r="E26" s="226"/>
      <c r="F26" s="89"/>
      <c r="G26" s="81"/>
      <c r="H26" s="82"/>
      <c r="I26" s="83" t="str">
        <f t="shared" si="2"/>
        <v/>
      </c>
      <c r="J26" s="361" t="str">
        <f t="shared" si="3"/>
        <v/>
      </c>
      <c r="K26" s="200">
        <v>23</v>
      </c>
      <c r="L26" s="133">
        <f t="shared" si="4"/>
        <v>0</v>
      </c>
      <c r="M26" s="135" t="s">
        <v>5</v>
      </c>
      <c r="O26" s="244"/>
      <c r="P26" s="244"/>
      <c r="Q26" s="244"/>
      <c r="R26" s="244"/>
      <c r="S26" s="244"/>
      <c r="T26" s="244"/>
      <c r="U26" s="244"/>
      <c r="V26" s="244"/>
      <c r="W26" s="244"/>
      <c r="X26" s="244"/>
      <c r="Y26" s="244"/>
      <c r="Z26" s="244"/>
      <c r="AA26" s="244"/>
      <c r="AB26" s="244"/>
    </row>
    <row r="27" spans="1:28" ht="13.35" customHeight="1">
      <c r="A27" s="50" t="s">
        <v>5</v>
      </c>
      <c r="B27" s="141"/>
      <c r="C27" s="80"/>
      <c r="D27" s="93"/>
      <c r="E27" s="226"/>
      <c r="F27" s="89"/>
      <c r="G27" s="81"/>
      <c r="H27" s="82"/>
      <c r="I27" s="83" t="str">
        <f t="shared" si="2"/>
        <v/>
      </c>
      <c r="J27" s="361" t="str">
        <f t="shared" si="3"/>
        <v/>
      </c>
      <c r="K27" s="200">
        <v>24</v>
      </c>
      <c r="L27" s="133">
        <f t="shared" si="4"/>
        <v>0</v>
      </c>
      <c r="M27" s="135" t="s">
        <v>5</v>
      </c>
      <c r="O27" s="244"/>
      <c r="P27" s="244"/>
      <c r="Q27" s="244"/>
      <c r="R27" s="244"/>
      <c r="S27" s="244"/>
      <c r="T27" s="244"/>
      <c r="U27" s="244"/>
      <c r="V27" s="244"/>
      <c r="W27" s="244"/>
      <c r="X27" s="244"/>
      <c r="Y27" s="244"/>
      <c r="Z27" s="244"/>
      <c r="AA27" s="244"/>
      <c r="AB27" s="244"/>
    </row>
    <row r="28" spans="1:28" ht="13.35" customHeight="1">
      <c r="A28" s="50" t="s">
        <v>5</v>
      </c>
      <c r="B28" s="141"/>
      <c r="C28" s="80"/>
      <c r="D28" s="93"/>
      <c r="E28" s="226"/>
      <c r="F28" s="89"/>
      <c r="G28" s="81"/>
      <c r="H28" s="82"/>
      <c r="I28" s="83" t="str">
        <f t="shared" si="2"/>
        <v/>
      </c>
      <c r="J28" s="361" t="str">
        <f t="shared" si="3"/>
        <v/>
      </c>
      <c r="K28" s="200">
        <v>25</v>
      </c>
      <c r="L28" s="133">
        <f t="shared" si="4"/>
        <v>0</v>
      </c>
      <c r="M28" s="135" t="s">
        <v>5</v>
      </c>
      <c r="O28" s="244"/>
      <c r="P28" s="244"/>
      <c r="Q28" s="244"/>
      <c r="R28" s="244"/>
      <c r="S28" s="244"/>
      <c r="T28" s="244"/>
      <c r="U28" s="244"/>
      <c r="V28" s="244"/>
      <c r="W28" s="244"/>
      <c r="X28" s="244"/>
      <c r="Y28" s="244"/>
      <c r="Z28" s="244"/>
      <c r="AA28" s="244"/>
      <c r="AB28" s="244"/>
    </row>
    <row r="29" spans="1:28" ht="13.35" customHeight="1">
      <c r="A29" s="50" t="s">
        <v>5</v>
      </c>
      <c r="B29" s="141"/>
      <c r="C29" s="80"/>
      <c r="D29" s="93"/>
      <c r="E29" s="226"/>
      <c r="F29" s="89"/>
      <c r="G29" s="81"/>
      <c r="H29" s="82"/>
      <c r="I29" s="83" t="str">
        <f t="shared" si="2"/>
        <v/>
      </c>
      <c r="J29" s="361" t="str">
        <f t="shared" si="3"/>
        <v/>
      </c>
      <c r="K29" s="200">
        <v>26</v>
      </c>
      <c r="L29" s="133">
        <f t="shared" si="4"/>
        <v>0</v>
      </c>
      <c r="M29" s="135" t="s">
        <v>5</v>
      </c>
      <c r="O29" s="244"/>
      <c r="P29" s="244"/>
      <c r="Q29" s="244"/>
      <c r="R29" s="244"/>
      <c r="S29" s="244"/>
      <c r="T29" s="244"/>
      <c r="U29" s="244"/>
      <c r="V29" s="244"/>
      <c r="W29" s="244"/>
      <c r="X29" s="244"/>
      <c r="Y29" s="244"/>
      <c r="Z29" s="244"/>
      <c r="AA29" s="244"/>
      <c r="AB29" s="244"/>
    </row>
    <row r="30" spans="1:28" ht="13.35" customHeight="1">
      <c r="A30" s="50" t="s">
        <v>5</v>
      </c>
      <c r="B30" s="141"/>
      <c r="C30" s="80"/>
      <c r="D30" s="93"/>
      <c r="E30" s="226"/>
      <c r="F30" s="89"/>
      <c r="G30" s="81"/>
      <c r="H30" s="82"/>
      <c r="I30" s="83" t="str">
        <f t="shared" si="2"/>
        <v/>
      </c>
      <c r="J30" s="361" t="str">
        <f t="shared" si="3"/>
        <v/>
      </c>
      <c r="K30" s="200">
        <v>27</v>
      </c>
      <c r="L30" s="133">
        <f t="shared" si="4"/>
        <v>0</v>
      </c>
      <c r="M30" s="135" t="s">
        <v>5</v>
      </c>
      <c r="O30" s="244"/>
      <c r="P30" s="244"/>
      <c r="Q30" s="244"/>
      <c r="R30" s="244"/>
      <c r="S30" s="244"/>
      <c r="T30" s="244"/>
      <c r="U30" s="244"/>
      <c r="V30" s="244"/>
      <c r="W30" s="244"/>
      <c r="X30" s="244"/>
      <c r="Y30" s="244"/>
      <c r="Z30" s="244"/>
      <c r="AA30" s="244"/>
      <c r="AB30" s="244"/>
    </row>
    <row r="31" spans="1:28" ht="13.35" customHeight="1">
      <c r="A31" s="50" t="s">
        <v>5</v>
      </c>
      <c r="B31" s="141"/>
      <c r="C31" s="80"/>
      <c r="D31" s="93"/>
      <c r="E31" s="226"/>
      <c r="F31" s="89"/>
      <c r="G31" s="81"/>
      <c r="H31" s="82"/>
      <c r="I31" s="83" t="str">
        <f t="shared" si="2"/>
        <v/>
      </c>
      <c r="J31" s="361" t="str">
        <f t="shared" si="3"/>
        <v/>
      </c>
      <c r="K31" s="200">
        <v>28</v>
      </c>
      <c r="L31" s="133">
        <f t="shared" si="4"/>
        <v>0</v>
      </c>
      <c r="M31" s="135" t="s">
        <v>5</v>
      </c>
      <c r="O31" s="244"/>
      <c r="P31" s="244"/>
      <c r="Q31" s="244"/>
      <c r="R31" s="244"/>
      <c r="S31" s="244"/>
      <c r="T31" s="244"/>
      <c r="U31" s="244"/>
      <c r="V31" s="244"/>
      <c r="W31" s="244"/>
      <c r="X31" s="244"/>
      <c r="Y31" s="244"/>
      <c r="Z31" s="244"/>
      <c r="AA31" s="244"/>
      <c r="AB31" s="244"/>
    </row>
    <row r="32" spans="1:28" ht="13.35" customHeight="1">
      <c r="A32" s="50" t="s">
        <v>5</v>
      </c>
      <c r="B32" s="141"/>
      <c r="C32" s="80"/>
      <c r="D32" s="93"/>
      <c r="E32" s="226"/>
      <c r="F32" s="89"/>
      <c r="G32" s="81"/>
      <c r="H32" s="82"/>
      <c r="I32" s="83" t="str">
        <f t="shared" si="2"/>
        <v/>
      </c>
      <c r="J32" s="361" t="str">
        <f t="shared" si="3"/>
        <v/>
      </c>
      <c r="K32" s="200">
        <v>29</v>
      </c>
      <c r="L32" s="133">
        <f t="shared" si="4"/>
        <v>0</v>
      </c>
      <c r="M32" s="135" t="s">
        <v>5</v>
      </c>
      <c r="O32" s="244"/>
      <c r="P32" s="244"/>
      <c r="Q32" s="244"/>
      <c r="R32" s="244"/>
      <c r="S32" s="244"/>
      <c r="T32" s="244"/>
      <c r="U32" s="244"/>
      <c r="V32" s="244"/>
      <c r="W32" s="244"/>
      <c r="X32" s="244"/>
      <c r="Y32" s="244"/>
      <c r="Z32" s="244"/>
      <c r="AA32" s="244"/>
      <c r="AB32" s="244"/>
    </row>
    <row r="33" spans="1:28" ht="13.35" customHeight="1">
      <c r="A33" s="50" t="s">
        <v>5</v>
      </c>
      <c r="B33" s="141"/>
      <c r="C33" s="80"/>
      <c r="D33" s="93"/>
      <c r="E33" s="226"/>
      <c r="F33" s="89"/>
      <c r="G33" s="81"/>
      <c r="H33" s="82"/>
      <c r="I33" s="83" t="str">
        <f t="shared" si="2"/>
        <v/>
      </c>
      <c r="J33" s="361" t="str">
        <f t="shared" si="3"/>
        <v/>
      </c>
      <c r="K33" s="200">
        <v>30</v>
      </c>
      <c r="L33" s="133">
        <f t="shared" si="4"/>
        <v>0</v>
      </c>
      <c r="M33" s="135" t="s">
        <v>5</v>
      </c>
      <c r="O33" s="244"/>
      <c r="P33" s="244"/>
      <c r="Q33" s="244"/>
      <c r="R33" s="244"/>
      <c r="S33" s="244"/>
      <c r="T33" s="244"/>
      <c r="U33" s="244"/>
      <c r="V33" s="244"/>
      <c r="W33" s="244"/>
      <c r="X33" s="244"/>
      <c r="Y33" s="244"/>
      <c r="Z33" s="244"/>
      <c r="AA33" s="244"/>
      <c r="AB33" s="244"/>
    </row>
    <row r="34" spans="1:28" ht="13.35" customHeight="1">
      <c r="A34" s="50" t="s">
        <v>5</v>
      </c>
      <c r="B34" s="141"/>
      <c r="C34" s="80"/>
      <c r="D34" s="93"/>
      <c r="E34" s="226"/>
      <c r="F34" s="89"/>
      <c r="G34" s="81"/>
      <c r="H34" s="82"/>
      <c r="I34" s="83" t="str">
        <f t="shared" si="2"/>
        <v/>
      </c>
      <c r="J34" s="361" t="str">
        <f t="shared" si="3"/>
        <v/>
      </c>
      <c r="K34" s="200">
        <v>31</v>
      </c>
      <c r="L34" s="133">
        <f t="shared" si="4"/>
        <v>0</v>
      </c>
      <c r="M34" s="135" t="s">
        <v>5</v>
      </c>
      <c r="O34" s="244"/>
      <c r="P34" s="244"/>
      <c r="Q34" s="244"/>
      <c r="R34" s="244"/>
      <c r="S34" s="244"/>
      <c r="T34" s="244"/>
      <c r="U34" s="244"/>
      <c r="V34" s="244"/>
      <c r="W34" s="244"/>
      <c r="X34" s="244"/>
      <c r="Y34" s="244"/>
      <c r="Z34" s="244"/>
      <c r="AA34" s="244"/>
      <c r="AB34" s="244"/>
    </row>
    <row r="35" spans="1:28" ht="13.35" customHeight="1">
      <c r="A35" s="50" t="s">
        <v>5</v>
      </c>
      <c r="B35" s="141"/>
      <c r="C35" s="80"/>
      <c r="D35" s="93"/>
      <c r="E35" s="226"/>
      <c r="F35" s="89"/>
      <c r="G35" s="81"/>
      <c r="H35" s="82"/>
      <c r="I35" s="83" t="str">
        <f t="shared" si="2"/>
        <v/>
      </c>
      <c r="J35" s="361" t="str">
        <f t="shared" si="3"/>
        <v/>
      </c>
      <c r="K35" s="200">
        <v>32</v>
      </c>
      <c r="L35" s="133">
        <f t="shared" si="4"/>
        <v>0</v>
      </c>
      <c r="M35" s="135" t="s">
        <v>5</v>
      </c>
      <c r="O35" s="244"/>
      <c r="P35" s="244"/>
      <c r="Q35" s="244"/>
      <c r="R35" s="244"/>
      <c r="S35" s="244"/>
      <c r="T35" s="244"/>
      <c r="U35" s="244"/>
      <c r="V35" s="244"/>
      <c r="W35" s="244"/>
      <c r="X35" s="244"/>
      <c r="Y35" s="244"/>
      <c r="Z35" s="244"/>
      <c r="AA35" s="244"/>
      <c r="AB35" s="244"/>
    </row>
    <row r="36" spans="1:28" ht="13.35" customHeight="1">
      <c r="A36" s="50" t="s">
        <v>5</v>
      </c>
      <c r="B36" s="141"/>
      <c r="C36" s="80"/>
      <c r="D36" s="93"/>
      <c r="E36" s="226"/>
      <c r="F36" s="89"/>
      <c r="G36" s="81"/>
      <c r="H36" s="82"/>
      <c r="I36" s="83" t="str">
        <f t="shared" si="2"/>
        <v/>
      </c>
      <c r="J36" s="361" t="str">
        <f t="shared" si="3"/>
        <v/>
      </c>
      <c r="K36" s="200">
        <v>33</v>
      </c>
      <c r="L36" s="133">
        <f t="shared" si="4"/>
        <v>0</v>
      </c>
      <c r="M36" s="135" t="s">
        <v>5</v>
      </c>
      <c r="O36" s="244"/>
      <c r="P36" s="244"/>
      <c r="Q36" s="244"/>
      <c r="R36" s="244"/>
      <c r="S36" s="244"/>
      <c r="T36" s="244"/>
      <c r="U36" s="244"/>
      <c r="V36" s="244"/>
      <c r="W36" s="244"/>
      <c r="X36" s="244"/>
      <c r="Y36" s="244"/>
      <c r="Z36" s="244"/>
      <c r="AA36" s="244"/>
      <c r="AB36" s="244"/>
    </row>
    <row r="37" spans="1:28" ht="13.35" customHeight="1">
      <c r="A37" s="50" t="s">
        <v>5</v>
      </c>
      <c r="B37" s="141"/>
      <c r="C37" s="80"/>
      <c r="D37" s="93"/>
      <c r="E37" s="226"/>
      <c r="F37" s="89"/>
      <c r="G37" s="81"/>
      <c r="H37" s="82"/>
      <c r="I37" s="83" t="str">
        <f t="shared" si="2"/>
        <v/>
      </c>
      <c r="J37" s="361" t="str">
        <f t="shared" si="3"/>
        <v/>
      </c>
      <c r="K37" s="200">
        <v>34</v>
      </c>
      <c r="L37" s="133">
        <f t="shared" si="4"/>
        <v>0</v>
      </c>
      <c r="M37" s="135" t="s">
        <v>5</v>
      </c>
      <c r="O37" s="244"/>
      <c r="P37" s="244"/>
      <c r="Q37" s="244"/>
      <c r="R37" s="244"/>
      <c r="S37" s="244"/>
      <c r="T37" s="244"/>
      <c r="U37" s="244"/>
      <c r="V37" s="244"/>
      <c r="W37" s="244"/>
      <c r="X37" s="244"/>
      <c r="Y37" s="244"/>
      <c r="Z37" s="244"/>
      <c r="AA37" s="244"/>
      <c r="AB37" s="244"/>
    </row>
    <row r="38" spans="1:28" ht="13.35" customHeight="1">
      <c r="A38" s="50" t="s">
        <v>5</v>
      </c>
      <c r="B38" s="141"/>
      <c r="C38" s="80"/>
      <c r="D38" s="93"/>
      <c r="E38" s="226"/>
      <c r="F38" s="89"/>
      <c r="G38" s="81"/>
      <c r="H38" s="82"/>
      <c r="I38" s="83" t="str">
        <f t="shared" si="2"/>
        <v/>
      </c>
      <c r="J38" s="361" t="str">
        <f t="shared" si="3"/>
        <v/>
      </c>
      <c r="K38" s="200">
        <v>35</v>
      </c>
      <c r="L38" s="133">
        <f t="shared" si="4"/>
        <v>0</v>
      </c>
      <c r="M38" s="135" t="s">
        <v>5</v>
      </c>
      <c r="O38" s="244"/>
      <c r="P38" s="244"/>
      <c r="Q38" s="244"/>
      <c r="R38" s="244"/>
      <c r="S38" s="244"/>
      <c r="T38" s="244"/>
      <c r="U38" s="244"/>
      <c r="V38" s="244"/>
      <c r="W38" s="244"/>
      <c r="X38" s="244"/>
      <c r="Y38" s="244"/>
      <c r="Z38" s="244"/>
      <c r="AA38" s="244"/>
      <c r="AB38" s="244"/>
    </row>
    <row r="39" spans="1:28" ht="13.35" customHeight="1">
      <c r="A39" s="50" t="s">
        <v>5</v>
      </c>
      <c r="B39" s="141"/>
      <c r="C39" s="80"/>
      <c r="D39" s="93"/>
      <c r="E39" s="226"/>
      <c r="F39" s="89"/>
      <c r="G39" s="81"/>
      <c r="H39" s="82"/>
      <c r="I39" s="83" t="str">
        <f t="shared" si="2"/>
        <v/>
      </c>
      <c r="J39" s="361" t="str">
        <f t="shared" si="3"/>
        <v/>
      </c>
      <c r="K39" s="200">
        <v>36</v>
      </c>
      <c r="L39" s="133">
        <f t="shared" si="4"/>
        <v>0</v>
      </c>
      <c r="M39" s="135" t="s">
        <v>5</v>
      </c>
      <c r="O39" s="244"/>
      <c r="P39" s="244"/>
      <c r="Q39" s="244"/>
      <c r="R39" s="244"/>
      <c r="S39" s="244"/>
      <c r="T39" s="244"/>
      <c r="U39" s="244"/>
      <c r="V39" s="244"/>
      <c r="W39" s="244"/>
      <c r="X39" s="244"/>
      <c r="Y39" s="244"/>
      <c r="Z39" s="244"/>
      <c r="AA39" s="244"/>
      <c r="AB39" s="244"/>
    </row>
    <row r="40" spans="1:28" ht="13.35" customHeight="1">
      <c r="A40" s="50" t="s">
        <v>5</v>
      </c>
      <c r="B40" s="141"/>
      <c r="C40" s="80"/>
      <c r="D40" s="93"/>
      <c r="E40" s="226"/>
      <c r="F40" s="89"/>
      <c r="G40" s="81"/>
      <c r="H40" s="82"/>
      <c r="I40" s="83" t="str">
        <f t="shared" si="2"/>
        <v/>
      </c>
      <c r="J40" s="361" t="str">
        <f t="shared" si="3"/>
        <v/>
      </c>
      <c r="K40" s="200">
        <v>37</v>
      </c>
      <c r="L40" s="133">
        <f t="shared" si="4"/>
        <v>0</v>
      </c>
      <c r="M40" s="135" t="s">
        <v>5</v>
      </c>
      <c r="O40" s="244"/>
      <c r="P40" s="244"/>
      <c r="Q40" s="244"/>
      <c r="R40" s="244"/>
      <c r="S40" s="244"/>
      <c r="T40" s="244"/>
      <c r="U40" s="244"/>
      <c r="V40" s="244"/>
      <c r="W40" s="244"/>
      <c r="X40" s="244"/>
      <c r="Y40" s="244"/>
      <c r="Z40" s="244"/>
      <c r="AA40" s="244"/>
      <c r="AB40" s="244"/>
    </row>
    <row r="41" spans="1:28" ht="13.35" customHeight="1">
      <c r="A41" s="50" t="s">
        <v>5</v>
      </c>
      <c r="B41" s="141"/>
      <c r="C41" s="80"/>
      <c r="D41" s="93"/>
      <c r="E41" s="226"/>
      <c r="F41" s="89"/>
      <c r="G41" s="81"/>
      <c r="H41" s="82"/>
      <c r="I41" s="83" t="str">
        <f t="shared" si="2"/>
        <v/>
      </c>
      <c r="J41" s="361" t="str">
        <f t="shared" si="3"/>
        <v/>
      </c>
      <c r="K41" s="200">
        <v>38</v>
      </c>
      <c r="L41" s="133">
        <f t="shared" si="4"/>
        <v>0</v>
      </c>
      <c r="M41" s="135" t="s">
        <v>5</v>
      </c>
      <c r="O41" s="244"/>
      <c r="P41" s="244"/>
      <c r="Q41" s="244"/>
      <c r="R41" s="244"/>
      <c r="S41" s="244"/>
      <c r="T41" s="244"/>
      <c r="U41" s="244"/>
      <c r="V41" s="244"/>
      <c r="W41" s="244"/>
      <c r="X41" s="244"/>
      <c r="Y41" s="244"/>
      <c r="Z41" s="244"/>
      <c r="AA41" s="244"/>
      <c r="AB41" s="244"/>
    </row>
    <row r="42" spans="1:28" ht="13.35" customHeight="1">
      <c r="A42" s="50" t="s">
        <v>5</v>
      </c>
      <c r="B42" s="141"/>
      <c r="C42" s="80"/>
      <c r="D42" s="93"/>
      <c r="E42" s="226"/>
      <c r="F42" s="89"/>
      <c r="G42" s="81"/>
      <c r="H42" s="82"/>
      <c r="I42" s="83" t="str">
        <f t="shared" si="2"/>
        <v/>
      </c>
      <c r="J42" s="361" t="str">
        <f t="shared" si="3"/>
        <v/>
      </c>
      <c r="K42" s="200">
        <v>39</v>
      </c>
      <c r="L42" s="133">
        <f t="shared" si="4"/>
        <v>0</v>
      </c>
      <c r="M42" s="135" t="s">
        <v>5</v>
      </c>
      <c r="O42" s="244"/>
      <c r="P42" s="244"/>
      <c r="Q42" s="244"/>
      <c r="R42" s="244"/>
      <c r="S42" s="244"/>
      <c r="T42" s="244"/>
      <c r="U42" s="244"/>
      <c r="V42" s="244"/>
      <c r="W42" s="244"/>
      <c r="X42" s="244"/>
      <c r="Y42" s="244"/>
      <c r="Z42" s="244"/>
      <c r="AA42" s="244"/>
      <c r="AB42" s="244"/>
    </row>
    <row r="43" spans="1:28" ht="13.35" customHeight="1">
      <c r="A43" s="50" t="s">
        <v>5</v>
      </c>
      <c r="B43" s="141"/>
      <c r="C43" s="80"/>
      <c r="D43" s="93"/>
      <c r="E43" s="226"/>
      <c r="F43" s="89"/>
      <c r="G43" s="81"/>
      <c r="H43" s="82"/>
      <c r="I43" s="83" t="str">
        <f t="shared" si="2"/>
        <v/>
      </c>
      <c r="J43" s="361" t="str">
        <f t="shared" si="3"/>
        <v/>
      </c>
      <c r="K43" s="200">
        <v>40</v>
      </c>
      <c r="L43" s="133">
        <f t="shared" si="4"/>
        <v>0</v>
      </c>
      <c r="M43" s="135" t="s">
        <v>5</v>
      </c>
      <c r="O43" s="244"/>
      <c r="P43" s="244"/>
      <c r="Q43" s="244"/>
      <c r="R43" s="244"/>
      <c r="S43" s="244"/>
      <c r="T43" s="244"/>
      <c r="U43" s="244"/>
      <c r="V43" s="244"/>
      <c r="W43" s="244"/>
      <c r="X43" s="244"/>
      <c r="Y43" s="244"/>
      <c r="Z43" s="244"/>
      <c r="AA43" s="244"/>
      <c r="AB43" s="244"/>
    </row>
    <row r="44" spans="1:28" ht="13.35" customHeight="1">
      <c r="A44" s="50" t="s">
        <v>5</v>
      </c>
      <c r="B44" s="141"/>
      <c r="C44" s="80"/>
      <c r="D44" s="93"/>
      <c r="E44" s="226"/>
      <c r="F44" s="89"/>
      <c r="G44" s="81"/>
      <c r="H44" s="82"/>
      <c r="I44" s="83" t="str">
        <f t="shared" si="2"/>
        <v/>
      </c>
      <c r="J44" s="361" t="str">
        <f t="shared" si="3"/>
        <v/>
      </c>
      <c r="K44" s="200">
        <v>41</v>
      </c>
      <c r="L44" s="133">
        <f t="shared" si="4"/>
        <v>0</v>
      </c>
      <c r="M44" s="135" t="s">
        <v>5</v>
      </c>
      <c r="O44" s="244"/>
      <c r="P44" s="244"/>
      <c r="Q44" s="244"/>
      <c r="R44" s="244"/>
      <c r="S44" s="244"/>
      <c r="T44" s="244"/>
      <c r="U44" s="244"/>
      <c r="V44" s="244"/>
      <c r="W44" s="244"/>
      <c r="X44" s="244"/>
      <c r="Y44" s="244"/>
      <c r="Z44" s="244"/>
      <c r="AA44" s="244"/>
      <c r="AB44" s="244"/>
    </row>
    <row r="45" spans="1:28" ht="13.35" customHeight="1">
      <c r="A45" s="50" t="s">
        <v>5</v>
      </c>
      <c r="B45" s="141"/>
      <c r="C45" s="80"/>
      <c r="D45" s="93"/>
      <c r="E45" s="226"/>
      <c r="F45" s="89"/>
      <c r="G45" s="81"/>
      <c r="H45" s="82"/>
      <c r="I45" s="83" t="str">
        <f t="shared" ref="I45:I46" si="7">IF(G45&lt;&gt;"",+G45-G45/(1+H45/100),"")</f>
        <v/>
      </c>
      <c r="J45" s="361" t="str">
        <f t="shared" ref="J45:J46" si="8">IF(G45&lt;&gt;0,+G45-I45,"")</f>
        <v/>
      </c>
      <c r="K45" s="200">
        <v>44</v>
      </c>
      <c r="L45" s="133">
        <f t="shared" ref="L45:L46" si="9">IF(B45&lt;$O$2,0,IF(B45&lt;$P$2,1,IF(B45&lt;$Q$2,2,IF(B45&lt;$R$2,3,IF(B45&lt;$S$2,4,IF(B45&lt;$T$2,5,IF(B45&lt;$U$2,6,IF(B45&lt;$V$2,7,IF(B45&lt;$W$2,8,IF(B45&lt;$X$2,9,IF(B45&lt;$Y$2,10,IF(B45&lt;$Z$2,11,IF(B45&lt;=$Z$3,12,0)))))))))))))</f>
        <v>0</v>
      </c>
      <c r="M45" s="135" t="s">
        <v>5</v>
      </c>
      <c r="O45" s="244"/>
      <c r="P45" s="244"/>
      <c r="Q45" s="244"/>
      <c r="R45" s="244"/>
      <c r="S45" s="244"/>
      <c r="T45" s="244"/>
      <c r="U45" s="244"/>
      <c r="V45" s="244"/>
      <c r="W45" s="244"/>
      <c r="X45" s="244"/>
      <c r="Y45" s="244"/>
      <c r="Z45" s="244"/>
      <c r="AA45" s="244"/>
      <c r="AB45" s="244"/>
    </row>
    <row r="46" spans="1:28" ht="13.35" customHeight="1" thickBot="1">
      <c r="A46" s="50" t="s">
        <v>5</v>
      </c>
      <c r="B46" s="141"/>
      <c r="C46" s="80"/>
      <c r="D46" s="93"/>
      <c r="E46" s="226"/>
      <c r="F46" s="89"/>
      <c r="G46" s="81"/>
      <c r="H46" s="82"/>
      <c r="I46" s="83" t="str">
        <f t="shared" si="7"/>
        <v/>
      </c>
      <c r="J46" s="361" t="str">
        <f t="shared" si="8"/>
        <v/>
      </c>
      <c r="K46" s="200">
        <v>45</v>
      </c>
      <c r="L46" s="133">
        <f t="shared" si="9"/>
        <v>0</v>
      </c>
      <c r="M46" s="135" t="s">
        <v>5</v>
      </c>
      <c r="O46" s="244"/>
      <c r="P46" s="244"/>
      <c r="Q46" s="244"/>
      <c r="R46" s="244"/>
      <c r="S46" s="244"/>
      <c r="T46" s="244"/>
      <c r="U46" s="244"/>
      <c r="V46" s="244"/>
      <c r="W46" s="244"/>
      <c r="X46" s="244"/>
      <c r="Y46" s="244"/>
      <c r="Z46" s="244"/>
      <c r="AA46" s="244"/>
      <c r="AB46" s="244"/>
    </row>
    <row r="47" spans="1:28" ht="12" customHeight="1" thickTop="1" thickBot="1">
      <c r="A47" s="391" t="s">
        <v>283</v>
      </c>
      <c r="B47" s="1244" t="str">
        <f>IF($A$48=0,"^ Zeile einfügen","bis hierher ziehen!")</f>
        <v>^ Zeile einfügen</v>
      </c>
      <c r="C47" s="1244"/>
      <c r="D47" s="392" t="s">
        <v>5</v>
      </c>
      <c r="E47" s="393" t="s">
        <v>5</v>
      </c>
      <c r="F47" s="394" t="s">
        <v>5</v>
      </c>
      <c r="G47" s="394"/>
      <c r="H47" s="395"/>
      <c r="I47" s="396"/>
      <c r="J47" s="425"/>
      <c r="K47" s="201">
        <v>0</v>
      </c>
      <c r="L47" s="185" t="s">
        <v>5</v>
      </c>
      <c r="M47" s="398" t="s">
        <v>283</v>
      </c>
    </row>
    <row r="48" spans="1:28" ht="12" customHeight="1" thickTop="1" thickBot="1">
      <c r="A48" s="390">
        <f>COUNTBLANK(A3:A47)+A49</f>
        <v>0</v>
      </c>
      <c r="B48" s="193" t="str">
        <f>+EÜR!C26</f>
        <v>ü</v>
      </c>
      <c r="C48" s="194" t="s">
        <v>5</v>
      </c>
      <c r="D48" s="194" t="s">
        <v>5</v>
      </c>
      <c r="E48" s="195" t="s">
        <v>5</v>
      </c>
      <c r="F48" s="196" t="s">
        <v>5</v>
      </c>
      <c r="G48" s="197">
        <f>SUBTOTAL(9,G3:G47)</f>
        <v>0</v>
      </c>
      <c r="H48" s="1242">
        <f>SUBTOTAL(9,I3:I47)</f>
        <v>0</v>
      </c>
      <c r="I48" s="1243">
        <f>SUBTOTAL(9,I3:I47)</f>
        <v>0</v>
      </c>
      <c r="J48" s="1293">
        <f>G48-H48</f>
        <v>0</v>
      </c>
      <c r="K48" s="1294"/>
      <c r="L48" s="1295"/>
      <c r="M48" s="135" t="s">
        <v>5</v>
      </c>
    </row>
    <row r="49" spans="1:14" ht="12" customHeight="1" thickTop="1" thickBot="1">
      <c r="A49" s="390">
        <f>IF(ISERROR(J47),1,0)</f>
        <v>0</v>
      </c>
      <c r="B49" s="192">
        <f>J48-G49-E49-C49</f>
        <v>0</v>
      </c>
      <c r="C49" s="1239">
        <f>SUMIF(F4:F47,"Kreditkarte",G4:G47)</f>
        <v>0</v>
      </c>
      <c r="D49" s="1239"/>
      <c r="E49" s="1240">
        <f>SUMIF(F4:F47,"Konto",G4:G47)</f>
        <v>0</v>
      </c>
      <c r="F49" s="1240"/>
      <c r="G49" s="1241">
        <f>SUMIF(F4:F47,"Geldbeutel",G4:G47)</f>
        <v>0</v>
      </c>
      <c r="H49" s="1241"/>
      <c r="I49" s="1241"/>
      <c r="J49" s="1296"/>
      <c r="K49" s="1297"/>
      <c r="L49" s="1298"/>
      <c r="M49" s="135" t="s">
        <v>5</v>
      </c>
    </row>
    <row r="50" spans="1:14" s="15" customFormat="1" ht="5.25" customHeight="1" thickTop="1">
      <c r="A50" s="36"/>
      <c r="B50" s="2"/>
      <c r="C50" s="3"/>
      <c r="D50" s="3"/>
      <c r="E50" s="1"/>
      <c r="G50" s="16"/>
      <c r="H50" s="16"/>
      <c r="I50" s="17"/>
      <c r="J50" s="18"/>
      <c r="K50" s="18"/>
      <c r="L50" s="31"/>
      <c r="N50" s="148"/>
    </row>
    <row r="51" spans="1:14">
      <c r="A51" s="36"/>
    </row>
  </sheetData>
  <sheetProtection formatCells="0" insertRows="0" deleteRows="0" selectLockedCells="1" sort="0" autoFilter="0"/>
  <mergeCells count="15">
    <mergeCell ref="C2:I2"/>
    <mergeCell ref="J2:L2"/>
    <mergeCell ref="AA9:AB9"/>
    <mergeCell ref="O10:Z10"/>
    <mergeCell ref="O11:Z11"/>
    <mergeCell ref="AA13:AB13"/>
    <mergeCell ref="O14:Z14"/>
    <mergeCell ref="AA14:AB14"/>
    <mergeCell ref="AA4:AB4"/>
    <mergeCell ref="B47:C47"/>
    <mergeCell ref="H48:I48"/>
    <mergeCell ref="J48:L49"/>
    <mergeCell ref="C49:D49"/>
    <mergeCell ref="E49:F49"/>
    <mergeCell ref="G49:I49"/>
  </mergeCells>
  <conditionalFormatting sqref="A4:A46">
    <cfRule type="expression" dxfId="1240" priority="22">
      <formula>ISERROR(J4)</formula>
    </cfRule>
    <cfRule type="cellIs" dxfId="1239" priority="23" operator="equal">
      <formula>""</formula>
    </cfRule>
  </conditionalFormatting>
  <conditionalFormatting sqref="A47:C47">
    <cfRule type="expression" dxfId="1238" priority="7">
      <formula>$A$48&lt;&gt;0</formula>
    </cfRule>
  </conditionalFormatting>
  <conditionalFormatting sqref="B2">
    <cfRule type="expression" dxfId="1237" priority="49" stopIfTrue="1">
      <formula>$B$48="x"</formula>
    </cfRule>
  </conditionalFormatting>
  <conditionalFormatting sqref="B4:B46">
    <cfRule type="cellIs" dxfId="1234" priority="36" operator="equal">
      <formula>""</formula>
    </cfRule>
  </conditionalFormatting>
  <conditionalFormatting sqref="B48">
    <cfRule type="cellIs" dxfId="1233" priority="72" operator="equal">
      <formula>"y"</formula>
    </cfRule>
  </conditionalFormatting>
  <conditionalFormatting sqref="B3:J3">
    <cfRule type="expression" dxfId="1232" priority="10760">
      <formula>$B$48="x"</formula>
    </cfRule>
  </conditionalFormatting>
  <conditionalFormatting sqref="B4:J46">
    <cfRule type="expression" dxfId="1231" priority="32">
      <formula>$B$1="x"</formula>
    </cfRule>
  </conditionalFormatting>
  <conditionalFormatting sqref="B3:L3">
    <cfRule type="expression" dxfId="1230" priority="66">
      <formula>$B$48="x"</formula>
    </cfRule>
  </conditionalFormatting>
  <conditionalFormatting sqref="C4:D46">
    <cfRule type="expression" dxfId="1229" priority="39">
      <formula>AND($B4&lt;&gt;"",$C4="")</formula>
    </cfRule>
  </conditionalFormatting>
  <conditionalFormatting sqref="C49:I49">
    <cfRule type="cellIs" dxfId="1228" priority="71" stopIfTrue="1" operator="lessThan">
      <formula>0</formula>
    </cfRule>
    <cfRule type="cellIs" dxfId="1227" priority="69" stopIfTrue="1" operator="greaterThanOrEqual">
      <formula>0</formula>
    </cfRule>
  </conditionalFormatting>
  <conditionalFormatting sqref="D47:J47">
    <cfRule type="expression" dxfId="1226" priority="9">
      <formula>$A$48&lt;&gt;0</formula>
    </cfRule>
  </conditionalFormatting>
  <conditionalFormatting sqref="H4:H46">
    <cfRule type="expression" dxfId="1225" priority="35">
      <formula>AND(G4&lt;&gt;"",H4="",$I$1&lt;&gt;"x")</formula>
    </cfRule>
  </conditionalFormatting>
  <conditionalFormatting sqref="H4:I46">
    <cfRule type="expression" dxfId="1224" priority="33">
      <formula>AND($I4&lt;&gt;0,$I$1&lt;&gt;"ü")</formula>
    </cfRule>
    <cfRule type="expression" dxfId="1223" priority="34">
      <formula>$I$1&lt;&gt;"ü"</formula>
    </cfRule>
  </conditionalFormatting>
  <conditionalFormatting sqref="J48:L48 C49:L49 C48:H48">
    <cfRule type="expression" dxfId="1221" priority="68">
      <formula>$B$48="x"</formula>
    </cfRule>
  </conditionalFormatting>
  <conditionalFormatting sqref="J48:L49">
    <cfRule type="expression" dxfId="1220" priority="67">
      <formula>AND($B$48="x",$J$48&lt;&gt;0)</formula>
    </cfRule>
  </conditionalFormatting>
  <conditionalFormatting sqref="K4:L46">
    <cfRule type="expression" dxfId="1219" priority="17363">
      <formula>$B$48="x"</formula>
    </cfRule>
  </conditionalFormatting>
  <conditionalFormatting sqref="M3">
    <cfRule type="cellIs" dxfId="1218" priority="31" operator="equal">
      <formula>""</formula>
    </cfRule>
  </conditionalFormatting>
  <conditionalFormatting sqref="M4:M46">
    <cfRule type="expression" dxfId="1217" priority="29">
      <formula>ISERROR(J4)</formula>
    </cfRule>
    <cfRule type="cellIs" dxfId="1216" priority="30" operator="equal">
      <formula>""</formula>
    </cfRule>
  </conditionalFormatting>
  <conditionalFormatting sqref="M47">
    <cfRule type="expression" dxfId="1215" priority="8">
      <formula>$A$48&lt;&gt;0</formula>
    </cfRule>
  </conditionalFormatting>
  <conditionalFormatting sqref="M47:M49">
    <cfRule type="cellIs" dxfId="1214" priority="11" operator="equal">
      <formula>""</formula>
    </cfRule>
  </conditionalFormatting>
  <conditionalFormatting sqref="N10:AB10">
    <cfRule type="expression" dxfId="1213" priority="6">
      <formula>$N$2=0</formula>
    </cfRule>
  </conditionalFormatting>
  <conditionalFormatting sqref="O11:Z11">
    <cfRule type="cellIs" dxfId="1212" priority="53" operator="equal">
      <formula>"Fehler!"</formula>
    </cfRule>
  </conditionalFormatting>
  <conditionalFormatting sqref="O4:AA4">
    <cfRule type="expression" dxfId="1208" priority="48">
      <formula>$N$2=0</formula>
    </cfRule>
  </conditionalFormatting>
  <conditionalFormatting sqref="O2:AB3">
    <cfRule type="expression" dxfId="1206" priority="1">
      <formula>$N$2=0</formula>
    </cfRule>
  </conditionalFormatting>
  <conditionalFormatting sqref="O5:AB8 O9:AA9">
    <cfRule type="expression" dxfId="1205" priority="52">
      <formula>$N$2=0</formula>
    </cfRule>
  </conditionalFormatting>
  <conditionalFormatting sqref="O11:AB14">
    <cfRule type="expression" dxfId="1204" priority="3">
      <formula>$N$2=0</formula>
    </cfRule>
  </conditionalFormatting>
  <conditionalFormatting sqref="O47:AB49">
    <cfRule type="expression" dxfId="1203" priority="10">
      <formula>$N$2=0</formula>
    </cfRule>
  </conditionalFormatting>
  <dataValidations count="2">
    <dataValidation type="list" allowBlank="1" showInputMessage="1" showErrorMessage="1" sqref="H4:H46" xr:uid="{498B347E-27E8-4DD5-AD35-0196A5FCDCCF}">
      <formula1>"19,7,0,~"</formula1>
    </dataValidation>
    <dataValidation type="list" allowBlank="1" showInputMessage="1" showErrorMessage="1" sqref="F4:F46" xr:uid="{3F7B39F0-F149-4A53-8C0E-6F96464396E6}">
      <formula1>"Konto,Geldbeutel,Kreditkarte,x"</formula1>
    </dataValidation>
  </dataValidations>
  <hyperlinks>
    <hyperlink ref="J2" location="'2022 EÜR'!A1" display="Menü" xr:uid="{9E1EE1C7-6B56-4482-A21E-E11573179924}"/>
    <hyperlink ref="J2:L2" location="EÜR!A1" display="EÜR" xr:uid="{2198251B-549D-4547-9737-0DD082B515E3}"/>
  </hyperlinks>
  <printOptions horizontalCentered="1"/>
  <pageMargins left="0" right="0" top="0" bottom="0.31496062992125984" header="0" footer="0"/>
  <pageSetup paperSize="9" orientation="portrait" r:id="rId1"/>
  <headerFooter>
    <oddFooter>&amp;L&amp;"Arial,Standard"&amp;8Datei: &amp;Z&amp;F/&amp;A&amp;C&amp;"Arial,Standard"&amp;8Seite &amp;P von &amp;N&amp;R&amp;"Arial,Standard"&amp;8Druck: &amp;D&amp;T Uhr</oddFooter>
  </headerFooter>
  <extLst>
    <ext xmlns:x14="http://schemas.microsoft.com/office/spreadsheetml/2009/9/main" uri="{78C0D931-6437-407d-A8EE-F0AAD7539E65}">
      <x14:conditionalFormattings>
        <x14:conditionalFormatting xmlns:xm="http://schemas.microsoft.com/office/excel/2006/main">
          <x14:cfRule type="cellIs" priority="37" operator="greaterThan" id="{FC09BA72-E2D6-409A-9941-265457F002C3}">
            <xm:f>EÜR!$I$78</xm:f>
            <x14:dxf>
              <font>
                <b/>
                <i val="0"/>
                <color rgb="FFFFFF00"/>
              </font>
              <fill>
                <patternFill>
                  <bgColor rgb="FFC00000"/>
                </patternFill>
              </fill>
            </x14:dxf>
          </x14:cfRule>
          <x14:cfRule type="cellIs" priority="38" operator="lessThan" id="{26102ED0-6821-4845-BAB1-EBC114A073B8}">
            <xm:f>EÜR!$I$77</xm:f>
            <x14:dxf>
              <font>
                <b/>
                <i val="0"/>
                <color rgb="FFFFFF00"/>
              </font>
              <fill>
                <patternFill>
                  <bgColor rgb="FFC00000"/>
                </patternFill>
              </fill>
            </x14:dxf>
          </x14:cfRule>
          <xm:sqref>B4:B46</xm:sqref>
        </x14:conditionalFormatting>
        <x14:conditionalFormatting xmlns:xm="http://schemas.microsoft.com/office/excel/2006/main">
          <x14:cfRule type="expression" priority="50" id="{88B555CD-05F0-47DF-80AB-ADBB9E083B01}">
            <xm:f>AND(EÜR!$J$66&lt;&gt;"ü",$H$48&lt;&gt;0)</xm:f>
            <x14:dxf>
              <font>
                <b/>
                <i val="0"/>
                <color rgb="FFFFFF00"/>
              </font>
              <fill>
                <patternFill>
                  <bgColor rgb="FFFF0000"/>
                </patternFill>
              </fill>
            </x14:dxf>
          </x14:cfRule>
          <xm:sqref>H48:I48</xm:sqref>
        </x14:conditionalFormatting>
        <x14:conditionalFormatting xmlns:xm="http://schemas.microsoft.com/office/excel/2006/main">
          <x14:cfRule type="expression" priority="54" id="{FE78637B-F81D-4924-B4E0-1138934649C9}">
            <xm:f>AND(O13&lt;&gt;0,U!L36="!",U!L37="!")</xm:f>
            <x14:dxf>
              <font>
                <b/>
                <i val="0"/>
                <color rgb="FFFF0000"/>
              </font>
              <fill>
                <patternFill>
                  <bgColor rgb="FFFFCCCC"/>
                </patternFill>
              </fill>
            </x14:dxf>
          </x14:cfRule>
          <x14:cfRule type="expression" priority="55" id="{70F61A24-173F-4ADC-B911-91A823721B2F}">
            <xm:f>U!L37&lt;&gt;"!"</xm:f>
            <x14:dxf>
              <font>
                <b/>
                <i val="0"/>
                <color rgb="FF006666"/>
              </font>
              <fill>
                <patternFill>
                  <bgColor theme="6" tint="0.39994506668294322"/>
                </patternFill>
              </fill>
            </x14:dxf>
          </x14:cfRule>
          <x14:cfRule type="expression" priority="56" id="{88981968-2F0B-426E-AAC5-C72FDF7CF8AF}">
            <xm:f>U!L36&lt;&gt;"!"</xm:f>
            <x14:dxf>
              <font>
                <b/>
                <i val="0"/>
                <color theme="9" tint="-0.499984740745262"/>
              </font>
              <fill>
                <patternFill>
                  <bgColor rgb="FFFFFF99"/>
                </patternFill>
              </fill>
            </x14:dxf>
          </x14:cfRule>
          <xm:sqref>O13:Z13</xm:sqref>
        </x14:conditionalFormatting>
        <x14:conditionalFormatting xmlns:xm="http://schemas.microsoft.com/office/excel/2006/main">
          <x14:cfRule type="expression" priority="2" id="{D6B932A8-1991-48BB-B4E0-B869529DB6EC}">
            <xm:f>EÜR!$J$66="-"</xm:f>
            <x14:dxf>
              <font>
                <b/>
                <i val="0"/>
                <color theme="0"/>
              </font>
              <fill>
                <patternFill>
                  <bgColor theme="0"/>
                </patternFill>
              </fill>
              <border>
                <left/>
                <right/>
                <top/>
                <bottom/>
              </border>
            </x14:dxf>
          </x14:cfRule>
          <xm:sqref>O12:AA14</xm:sqref>
        </x14:conditionalFormatting>
      </x14:conditionalFormatting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245CC2-EC3B-4FF5-B287-471E114EE459}">
  <sheetPr>
    <tabColor theme="9" tint="0.39997558519241921"/>
    <pageSetUpPr autoPageBreaks="0"/>
  </sheetPr>
  <dimension ref="A1:AB51"/>
  <sheetViews>
    <sheetView showGridLines="0" showRowColHeaders="0" zoomScaleNormal="100" workbookViewId="0">
      <pane ySplit="3" topLeftCell="A4" activePane="bottomLeft" state="frozen"/>
      <selection activeCell="F4" sqref="F4:F46"/>
      <selection pane="bottomLeft" activeCell="A4" sqref="A4"/>
    </sheetView>
  </sheetViews>
  <sheetFormatPr baseColWidth="10" defaultColWidth="9.77734375" defaultRowHeight="12.75"/>
  <cols>
    <col min="1" max="1" width="0.77734375" style="12" customWidth="1"/>
    <col min="2" max="2" width="7.6640625" style="30" customWidth="1"/>
    <col min="3" max="3" width="21.6640625" style="24" customWidth="1"/>
    <col min="4" max="4" width="7.6640625" style="24" customWidth="1"/>
    <col min="5" max="5" width="6.6640625" style="25" customWidth="1"/>
    <col min="6" max="6" width="9.6640625" style="26" customWidth="1"/>
    <col min="7" max="7" width="9.6640625" style="27" customWidth="1"/>
    <col min="8" max="8" width="2.6640625" style="28" customWidth="1"/>
    <col min="9" max="9" width="6.6640625" style="29" customWidth="1"/>
    <col min="10" max="10" width="9.6640625" style="27" customWidth="1"/>
    <col min="11" max="11" width="2.5546875" style="27" hidden="1" customWidth="1"/>
    <col min="12" max="12" width="1.5546875" style="32" hidden="1" customWidth="1"/>
    <col min="13" max="13" width="0.77734375" style="13" customWidth="1"/>
    <col min="14" max="14" width="1.77734375" style="147" customWidth="1"/>
    <col min="15" max="26" width="8.77734375" style="13" customWidth="1"/>
    <col min="27" max="27" width="10.33203125" style="13" customWidth="1"/>
    <col min="28" max="28" width="8.33203125" style="13" customWidth="1"/>
    <col min="29" max="16384" width="9.77734375" style="13"/>
  </cols>
  <sheetData>
    <row r="1" spans="1:28" s="37" customFormat="1" ht="3" customHeight="1" thickBot="1">
      <c r="A1" s="36"/>
      <c r="B1" s="53" t="str">
        <f>+B48</f>
        <v>ü</v>
      </c>
      <c r="C1" s="54">
        <f>+C49</f>
        <v>0</v>
      </c>
      <c r="D1" s="54"/>
      <c r="E1" s="53">
        <f>+E49</f>
        <v>0</v>
      </c>
      <c r="F1" s="53"/>
      <c r="G1" s="54">
        <f>+G49</f>
        <v>0</v>
      </c>
      <c r="H1" s="53"/>
      <c r="I1" s="338" t="str">
        <f>+EÜR!J66</f>
        <v>-</v>
      </c>
      <c r="J1" s="54">
        <f>+J48</f>
        <v>0</v>
      </c>
      <c r="K1" s="198"/>
      <c r="L1" s="56"/>
      <c r="N1" s="190"/>
    </row>
    <row r="2" spans="1:28" ht="23.1" customHeight="1" thickTop="1" thickBot="1">
      <c r="A2" s="36"/>
      <c r="B2" s="296" t="str">
        <f>+EÜR!D27</f>
        <v>A06</v>
      </c>
      <c r="C2" s="1290" t="str">
        <f>+EÜR!F27</f>
        <v>Miete für Geschäftsräume/Grundstücke</v>
      </c>
      <c r="D2" s="1291"/>
      <c r="E2" s="1291"/>
      <c r="F2" s="1291"/>
      <c r="G2" s="1291"/>
      <c r="H2" s="1291"/>
      <c r="I2" s="1292"/>
      <c r="J2" s="1227" t="s">
        <v>8</v>
      </c>
      <c r="K2" s="1228"/>
      <c r="L2" s="1229"/>
      <c r="M2" s="134"/>
      <c r="N2" s="190">
        <f>IF(OR(B48="x",N3=1),0,1)</f>
        <v>1</v>
      </c>
      <c r="O2" s="188">
        <f>+EOMONTH(EÜR!$I$3,-1)+1</f>
        <v>46023</v>
      </c>
      <c r="P2" s="188">
        <f t="shared" ref="P2:Z2" si="0">+O3+1</f>
        <v>46054</v>
      </c>
      <c r="Q2" s="188">
        <f t="shared" si="0"/>
        <v>46082</v>
      </c>
      <c r="R2" s="188">
        <f t="shared" si="0"/>
        <v>46113</v>
      </c>
      <c r="S2" s="188">
        <f t="shared" si="0"/>
        <v>46143</v>
      </c>
      <c r="T2" s="188">
        <f t="shared" si="0"/>
        <v>46174</v>
      </c>
      <c r="U2" s="188">
        <f t="shared" si="0"/>
        <v>46204</v>
      </c>
      <c r="V2" s="188">
        <f t="shared" si="0"/>
        <v>46235</v>
      </c>
      <c r="W2" s="188">
        <f t="shared" si="0"/>
        <v>46266</v>
      </c>
      <c r="X2" s="188">
        <f t="shared" si="0"/>
        <v>46296</v>
      </c>
      <c r="Y2" s="188">
        <f t="shared" si="0"/>
        <v>46327</v>
      </c>
      <c r="Z2" s="188">
        <f t="shared" si="0"/>
        <v>46357</v>
      </c>
      <c r="AA2" s="48"/>
    </row>
    <row r="3" spans="1:28" ht="14.25" customHeight="1" thickTop="1">
      <c r="A3" s="36" t="s">
        <v>5</v>
      </c>
      <c r="B3" s="58" t="s">
        <v>1</v>
      </c>
      <c r="C3" s="59" t="s">
        <v>6</v>
      </c>
      <c r="D3" s="60"/>
      <c r="E3" s="310" t="s">
        <v>7</v>
      </c>
      <c r="F3" s="61" t="s">
        <v>4</v>
      </c>
      <c r="G3" s="62" t="s">
        <v>31</v>
      </c>
      <c r="H3" s="63" t="s">
        <v>33</v>
      </c>
      <c r="I3" s="64" t="s">
        <v>32</v>
      </c>
      <c r="J3" s="275" t="s">
        <v>34</v>
      </c>
      <c r="K3" s="199">
        <v>0</v>
      </c>
      <c r="L3" s="65" t="s">
        <v>5</v>
      </c>
      <c r="M3" s="135" t="s">
        <v>5</v>
      </c>
      <c r="N3" s="222">
        <f>IF(SUBTOTAL(109,K3:K47)&lt;&gt;SUM(K3:K47),1,0)</f>
        <v>0</v>
      </c>
      <c r="O3" s="189">
        <f>EOMONTH(O2,0)</f>
        <v>46053</v>
      </c>
      <c r="P3" s="189">
        <f t="shared" ref="P3:Z3" si="1">EOMONTH(P2,0)</f>
        <v>46081</v>
      </c>
      <c r="Q3" s="189">
        <f t="shared" si="1"/>
        <v>46112</v>
      </c>
      <c r="R3" s="189">
        <f t="shared" si="1"/>
        <v>46142</v>
      </c>
      <c r="S3" s="189">
        <f t="shared" si="1"/>
        <v>46173</v>
      </c>
      <c r="T3" s="189">
        <f t="shared" si="1"/>
        <v>46203</v>
      </c>
      <c r="U3" s="189">
        <f t="shared" si="1"/>
        <v>46234</v>
      </c>
      <c r="V3" s="189">
        <f t="shared" si="1"/>
        <v>46265</v>
      </c>
      <c r="W3" s="189">
        <f t="shared" si="1"/>
        <v>46295</v>
      </c>
      <c r="X3" s="189">
        <f t="shared" si="1"/>
        <v>46326</v>
      </c>
      <c r="Y3" s="189">
        <f t="shared" si="1"/>
        <v>46356</v>
      </c>
      <c r="Z3" s="189">
        <f t="shared" si="1"/>
        <v>46387</v>
      </c>
      <c r="AB3" s="14"/>
    </row>
    <row r="4" spans="1:28" ht="13.35" customHeight="1">
      <c r="A4" s="50" t="s">
        <v>5</v>
      </c>
      <c r="B4" s="141"/>
      <c r="C4" s="80"/>
      <c r="D4" s="93"/>
      <c r="E4" s="226"/>
      <c r="F4" s="89"/>
      <c r="G4" s="81"/>
      <c r="H4" s="82"/>
      <c r="I4" s="83" t="str">
        <f t="shared" ref="I4:I44" si="2">IF(G4&lt;&gt;"",+G4-G4/(1+H4/100),"")</f>
        <v/>
      </c>
      <c r="J4" s="361" t="str">
        <f t="shared" ref="J4:J44" si="3">IF(G4&lt;&gt;0,+G4-I4,"")</f>
        <v/>
      </c>
      <c r="K4" s="200">
        <v>1</v>
      </c>
      <c r="L4" s="133">
        <f>IF(B4&lt;$O$2,0,IF(B4&lt;$P$2,1,IF(B4&lt;$Q$2,2,IF(B4&lt;$R$2,3,IF(B4&lt;$S$2,4,IF(B4&lt;$T$2,5,IF(B4&lt;$U$2,6,IF(B4&lt;$V$2,7,IF(B4&lt;$W$2,8,IF(B4&lt;$X$2,9,IF(B4&lt;$Y$2,10,IF(B4&lt;$Z$2,11,IF(B4&lt;=$Z$3,12,0)))))))))))))</f>
        <v>0</v>
      </c>
      <c r="M4" s="135" t="s">
        <v>5</v>
      </c>
      <c r="N4" s="190">
        <f>+N10+AA12+AA16</f>
        <v>0</v>
      </c>
      <c r="O4" s="251" t="s">
        <v>36</v>
      </c>
      <c r="P4" s="251" t="s">
        <v>37</v>
      </c>
      <c r="Q4" s="251" t="s">
        <v>38</v>
      </c>
      <c r="R4" s="251" t="s">
        <v>39</v>
      </c>
      <c r="S4" s="251" t="s">
        <v>40</v>
      </c>
      <c r="T4" s="251" t="s">
        <v>41</v>
      </c>
      <c r="U4" s="251" t="s">
        <v>42</v>
      </c>
      <c r="V4" s="251" t="s">
        <v>43</v>
      </c>
      <c r="W4" s="251" t="s">
        <v>44</v>
      </c>
      <c r="X4" s="251" t="s">
        <v>45</v>
      </c>
      <c r="Y4" s="251" t="s">
        <v>46</v>
      </c>
      <c r="Z4" s="251" t="s">
        <v>47</v>
      </c>
      <c r="AA4" s="1209" t="s">
        <v>255</v>
      </c>
      <c r="AB4" s="1210"/>
    </row>
    <row r="5" spans="1:28" ht="13.35" customHeight="1">
      <c r="A5" s="50" t="s">
        <v>5</v>
      </c>
      <c r="B5" s="141"/>
      <c r="C5" s="80"/>
      <c r="D5" s="93"/>
      <c r="E5" s="226"/>
      <c r="F5" s="89"/>
      <c r="G5" s="81"/>
      <c r="H5" s="82"/>
      <c r="I5" s="83" t="str">
        <f t="shared" si="2"/>
        <v/>
      </c>
      <c r="J5" s="361" t="str">
        <f t="shared" si="3"/>
        <v/>
      </c>
      <c r="K5" s="200">
        <v>2</v>
      </c>
      <c r="L5" s="133">
        <f t="shared" ref="L5:L44" si="4">IF(B5&lt;$O$2,0,IF(B5&lt;$P$2,1,IF(B5&lt;$Q$2,2,IF(B5&lt;$R$2,3,IF(B5&lt;$S$2,4,IF(B5&lt;$T$2,5,IF(B5&lt;$U$2,6,IF(B5&lt;$V$2,7,IF(B5&lt;$W$2,8,IF(B5&lt;$X$2,9,IF(B5&lt;$Y$2,10,IF(B5&lt;$Z$2,11,IF(B5&lt;=$Z$3,12,0)))))))))))))</f>
        <v>0</v>
      </c>
      <c r="M5" s="135" t="s">
        <v>5</v>
      </c>
      <c r="O5" s="252">
        <f>SUMIFS($G$3:$G$47,$L$3:$L$47,1,$F$3:$F$47,"Konto")</f>
        <v>0</v>
      </c>
      <c r="P5" s="252">
        <f>SUMIFS($G$3:$G$47,$L$3:$L$47,2,$F$3:$F$47,"Konto")</f>
        <v>0</v>
      </c>
      <c r="Q5" s="252">
        <f>SUMIFS($G$3:$G$47,$L$3:$L$47,3,$F$3:$F$47,"Konto")</f>
        <v>0</v>
      </c>
      <c r="R5" s="252">
        <f>SUMIFS($G$3:$G$47,$L$3:$L$47,4,$F$3:$F$47,"Konto")</f>
        <v>0</v>
      </c>
      <c r="S5" s="252">
        <f>SUMIFS($G$3:$G$47,$L$3:$L$47,5,$F$3:$F$47,"Konto")</f>
        <v>0</v>
      </c>
      <c r="T5" s="252">
        <f>SUMIFS($G$3:$G$47,$L$3:$L$47,6,$F$3:$F$47,"Konto")</f>
        <v>0</v>
      </c>
      <c r="U5" s="252">
        <f>SUMIFS($G$3:$G$47,$L$3:$L$47,7,$F$3:$F$47,"Konto")</f>
        <v>0</v>
      </c>
      <c r="V5" s="252">
        <f>SUMIFS($G$3:$G$47,$L$3:$L$47,8,$F$3:$F$47,"Konto")</f>
        <v>0</v>
      </c>
      <c r="W5" s="252">
        <f>SUMIFS($G$3:$G$47,$L$3:$L$47,9,$F$3:$F$47,"Konto")</f>
        <v>0</v>
      </c>
      <c r="X5" s="252">
        <f>SUMIFS($G$3:$G$47,$L$3:$L$47,10,$F$3:$F$47,"Konto")</f>
        <v>0</v>
      </c>
      <c r="Y5" s="252">
        <f>SUMIFS($G$3:$G$47,$L$3:$L$47,11,$F$3:$F$47,"Konto")</f>
        <v>0</v>
      </c>
      <c r="Z5" s="252">
        <f>SUMIFS($G$3:$G$47,$L$3:$L$47,12,$F$3:$F$47,"Konto")</f>
        <v>0</v>
      </c>
      <c r="AA5" s="253">
        <f>SUM(O5:Z5)</f>
        <v>0</v>
      </c>
      <c r="AB5" s="254" t="s">
        <v>140</v>
      </c>
    </row>
    <row r="6" spans="1:28" ht="13.35" customHeight="1">
      <c r="A6" s="50" t="s">
        <v>5</v>
      </c>
      <c r="B6" s="141"/>
      <c r="C6" s="80"/>
      <c r="D6" s="93"/>
      <c r="E6" s="226"/>
      <c r="F6" s="89"/>
      <c r="G6" s="81"/>
      <c r="H6" s="82"/>
      <c r="I6" s="83" t="str">
        <f t="shared" si="2"/>
        <v/>
      </c>
      <c r="J6" s="361" t="str">
        <f t="shared" si="3"/>
        <v/>
      </c>
      <c r="K6" s="200">
        <v>3</v>
      </c>
      <c r="L6" s="133">
        <f t="shared" si="4"/>
        <v>0</v>
      </c>
      <c r="M6" s="135" t="s">
        <v>5</v>
      </c>
      <c r="N6" s="190"/>
      <c r="O6" s="252">
        <f>SUMIFS($G$3:$G$47,$L$3:$L$47,1,$F$3:$F$47,"Kreditkarte")</f>
        <v>0</v>
      </c>
      <c r="P6" s="252">
        <f>SUMIFS($G$3:$G$47,$L$3:$L$47,2,$F$3:$F$47,"Kreditkarte")</f>
        <v>0</v>
      </c>
      <c r="Q6" s="252">
        <f>SUMIFS($G$3:$G$47,$L$3:$L$47,3,$F$3:$F$47,"Kreditkarte")</f>
        <v>0</v>
      </c>
      <c r="R6" s="252">
        <f>SUMIFS($G$3:$G$47,$L$3:$L$47,4,$F$3:$F$47,"Kreditkarte")</f>
        <v>0</v>
      </c>
      <c r="S6" s="252">
        <f>SUMIFS($G$3:$G$47,$L$3:$L$47,5,$F$3:$F$47,"Kreditkarte")</f>
        <v>0</v>
      </c>
      <c r="T6" s="252">
        <f>SUMIFS($G$3:$G$47,$L$3:$L$47,6,$F$3:$F$47,"Kreditkarte")</f>
        <v>0</v>
      </c>
      <c r="U6" s="252">
        <f>SUMIFS($G$3:$G$47,$L$3:$L$47,7,$F$3:$F$47,"Kreditkarte")</f>
        <v>0</v>
      </c>
      <c r="V6" s="252">
        <f>SUMIFS($G$3:$G$47,$L$3:$L$47,8,$F$3:$F$47,"Kreditkarte")</f>
        <v>0</v>
      </c>
      <c r="W6" s="252">
        <f>SUMIFS($G$3:$G$47,$L$3:$L$47,9,$F$3:$F$47,"Kreditkarte")</f>
        <v>0</v>
      </c>
      <c r="X6" s="252">
        <f>SUMIFS($G$3:$G$47,$L$3:$L$47,10,$F$3:$F$47,"Kreditkarte")</f>
        <v>0</v>
      </c>
      <c r="Y6" s="252">
        <f>SUMIFS($G$3:$G$47,$L$3:$L$47,11,$F$3:$F$47,"Kreditkarte")</f>
        <v>0</v>
      </c>
      <c r="Z6" s="252">
        <f>SUMIFS($G$3:$G$47,$L$3:$L$47,12,$F$3:$F$47,"Kreditkarte")</f>
        <v>0</v>
      </c>
      <c r="AA6" s="255">
        <f t="shared" ref="AA6:AA8" si="5">SUM(O6:Z6)</f>
        <v>0</v>
      </c>
      <c r="AB6" s="256" t="s">
        <v>142</v>
      </c>
    </row>
    <row r="7" spans="1:28" ht="13.35" customHeight="1">
      <c r="A7" s="50" t="s">
        <v>5</v>
      </c>
      <c r="B7" s="141"/>
      <c r="C7" s="80"/>
      <c r="D7" s="93"/>
      <c r="E7" s="226"/>
      <c r="F7" s="89"/>
      <c r="G7" s="81"/>
      <c r="H7" s="82"/>
      <c r="I7" s="83" t="str">
        <f t="shared" si="2"/>
        <v/>
      </c>
      <c r="J7" s="361" t="str">
        <f t="shared" si="3"/>
        <v/>
      </c>
      <c r="K7" s="200">
        <v>4</v>
      </c>
      <c r="L7" s="133">
        <f t="shared" si="4"/>
        <v>0</v>
      </c>
      <c r="M7" s="135" t="s">
        <v>5</v>
      </c>
      <c r="O7" s="252">
        <f>SUMIFS($G$3:$G$47,$L$3:$L$47,1,$F$3:$F$47,"Geldbeutel")</f>
        <v>0</v>
      </c>
      <c r="P7" s="252">
        <f>SUMIFS($G$3:$G$47,$L$3:$L$47,2,$F$3:$F$47,"Geldbeutel")</f>
        <v>0</v>
      </c>
      <c r="Q7" s="252">
        <f>SUMIFS($G$3:$G$47,$L$3:$L$47,3,$F$3:$F$47,"Geldbeutel")</f>
        <v>0</v>
      </c>
      <c r="R7" s="252">
        <f>SUMIFS($G$3:$G$47,$L$3:$L$47,4,$F$3:$F$47,"Geldbeutel")</f>
        <v>0</v>
      </c>
      <c r="S7" s="252">
        <f>SUMIFS($G$3:$G$47,$L$3:$L$47,5,$F$3:$F$47,"Geldbeutel")</f>
        <v>0</v>
      </c>
      <c r="T7" s="252">
        <f>SUMIFS($G$3:$G$47,$L$3:$L$47,6,$F$3:$F$47,"Geldbeutel")</f>
        <v>0</v>
      </c>
      <c r="U7" s="252">
        <f>SUMIFS($G$3:$G$47,$L$3:$L$47,7,$F$3:$F$47,"Geldbeutel")</f>
        <v>0</v>
      </c>
      <c r="V7" s="252">
        <f>SUMIFS($G$3:$G$47,$L$3:$L$47,8,$F$3:$F$47,"Geldbeutel")</f>
        <v>0</v>
      </c>
      <c r="W7" s="252">
        <f>SUMIFS($G$3:$G$47,$L$3:$L$47,9,$F$3:$F$47,"Geldbeutel")</f>
        <v>0</v>
      </c>
      <c r="X7" s="252">
        <f>SUMIFS($G$3:$G$47,$L$3:$L$47,10,$F$3:$F$47,"Geldbeutel")</f>
        <v>0</v>
      </c>
      <c r="Y7" s="252">
        <f>SUMIFS($G$3:$G$47,$L$3:$L$47,11,$F$3:$F$47,"Geldbeutel")</f>
        <v>0</v>
      </c>
      <c r="Z7" s="252">
        <f>SUMIFS($G$3:$G$47,$L$3:$L$47,12,$F$3:$F$47,"Geldbeutel")</f>
        <v>0</v>
      </c>
      <c r="AA7" s="253">
        <f t="shared" si="5"/>
        <v>0</v>
      </c>
      <c r="AB7" s="254" t="s">
        <v>139</v>
      </c>
    </row>
    <row r="8" spans="1:28" ht="13.35" customHeight="1">
      <c r="A8" s="50" t="s">
        <v>5</v>
      </c>
      <c r="B8" s="141"/>
      <c r="C8" s="80"/>
      <c r="D8" s="93"/>
      <c r="E8" s="226"/>
      <c r="F8" s="89"/>
      <c r="G8" s="81"/>
      <c r="H8" s="82"/>
      <c r="I8" s="83" t="str">
        <f t="shared" si="2"/>
        <v/>
      </c>
      <c r="J8" s="361" t="str">
        <f t="shared" si="3"/>
        <v/>
      </c>
      <c r="K8" s="200">
        <v>5</v>
      </c>
      <c r="L8" s="133">
        <f t="shared" si="4"/>
        <v>0</v>
      </c>
      <c r="M8" s="135" t="s">
        <v>5</v>
      </c>
      <c r="O8" s="252">
        <f>SUMIFS($G$3:$G$47,$L$3:$L$47,1,$F$3:$F$47,"X")</f>
        <v>0</v>
      </c>
      <c r="P8" s="252">
        <f>SUMIFS($G$3:$G$47,$L$3:$L$47,2,$F$3:$F$47,"X")</f>
        <v>0</v>
      </c>
      <c r="Q8" s="252">
        <f>SUMIFS($G$3:$G$47,$L$3:$L$47,3,$F$3:$F$47,"X")</f>
        <v>0</v>
      </c>
      <c r="R8" s="252">
        <f>SUMIFS($G$3:$G$47,$L$3:$L$47,4,$F$3:$F$47,"X")</f>
        <v>0</v>
      </c>
      <c r="S8" s="252">
        <f>SUMIFS($G$3:$G$47,$L$3:$L$47,5,$F$3:$F$47,"X")</f>
        <v>0</v>
      </c>
      <c r="T8" s="252">
        <f>SUMIFS($G$3:$G$47,$L$3:$L$47,6,$F$3:$F$47,"X")</f>
        <v>0</v>
      </c>
      <c r="U8" s="252">
        <f>SUMIFS($G$3:$G$47,$L$3:$L$47,7,$F$3:$F$47,"X")</f>
        <v>0</v>
      </c>
      <c r="V8" s="252">
        <f>SUMIFS($G$3:$G$47,$L$3:$L$47,8,$F$3:$F$47,"X")</f>
        <v>0</v>
      </c>
      <c r="W8" s="252">
        <f>SUMIFS($G$3:$G$47,$L$3:$L$47,9,$F$3:$F$47,"X")</f>
        <v>0</v>
      </c>
      <c r="X8" s="252">
        <f>SUMIFS($G$3:$G$47,$L$3:$L$47,10,$F$3:$F$47,"X")</f>
        <v>0</v>
      </c>
      <c r="Y8" s="252">
        <f>SUMIFS($G$3:$G$47,$L$3:$L$47,11,$F$3:$F$47,"X")</f>
        <v>0</v>
      </c>
      <c r="Z8" s="252">
        <f>SUMIFS($G$3:$G$47,$L$3:$L$47,12,$F$3:$F$47,"X")</f>
        <v>0</v>
      </c>
      <c r="AA8" s="255">
        <f t="shared" si="5"/>
        <v>0</v>
      </c>
      <c r="AB8" s="256" t="s">
        <v>192</v>
      </c>
    </row>
    <row r="9" spans="1:28" ht="13.35" customHeight="1">
      <c r="A9" s="50" t="s">
        <v>5</v>
      </c>
      <c r="B9" s="141"/>
      <c r="C9" s="80"/>
      <c r="D9" s="93"/>
      <c r="E9" s="226"/>
      <c r="F9" s="89"/>
      <c r="G9" s="81"/>
      <c r="H9" s="82"/>
      <c r="I9" s="83" t="str">
        <f t="shared" si="2"/>
        <v/>
      </c>
      <c r="J9" s="361" t="str">
        <f t="shared" si="3"/>
        <v/>
      </c>
      <c r="K9" s="200">
        <v>6</v>
      </c>
      <c r="L9" s="133">
        <f t="shared" si="4"/>
        <v>0</v>
      </c>
      <c r="M9" s="135" t="s">
        <v>5</v>
      </c>
      <c r="N9" s="191">
        <f>IF(OR(AND(AA14&lt;&gt;0,B48="x"),(O14+AA13)&lt;&gt;H48),1,0)</f>
        <v>0</v>
      </c>
      <c r="O9" s="257">
        <f>SUM(O5:O8)</f>
        <v>0</v>
      </c>
      <c r="P9" s="257">
        <f t="shared" ref="P9:Z9" si="6">SUM(P5:P8)</f>
        <v>0</v>
      </c>
      <c r="Q9" s="257">
        <f t="shared" si="6"/>
        <v>0</v>
      </c>
      <c r="R9" s="257">
        <f t="shared" si="6"/>
        <v>0</v>
      </c>
      <c r="S9" s="257">
        <f t="shared" si="6"/>
        <v>0</v>
      </c>
      <c r="T9" s="257">
        <f t="shared" si="6"/>
        <v>0</v>
      </c>
      <c r="U9" s="257">
        <f t="shared" si="6"/>
        <v>0</v>
      </c>
      <c r="V9" s="257">
        <f t="shared" si="6"/>
        <v>0</v>
      </c>
      <c r="W9" s="257">
        <f t="shared" si="6"/>
        <v>0</v>
      </c>
      <c r="X9" s="257">
        <f t="shared" si="6"/>
        <v>0</v>
      </c>
      <c r="Y9" s="257">
        <f t="shared" si="6"/>
        <v>0</v>
      </c>
      <c r="Z9" s="257">
        <f t="shared" si="6"/>
        <v>0</v>
      </c>
      <c r="AA9" s="1211" t="s">
        <v>197</v>
      </c>
      <c r="AB9" s="1212"/>
    </row>
    <row r="10" spans="1:28" ht="13.35" customHeight="1">
      <c r="A10" s="50" t="s">
        <v>5</v>
      </c>
      <c r="B10" s="141"/>
      <c r="C10" s="80"/>
      <c r="D10" s="93"/>
      <c r="E10" s="226"/>
      <c r="F10" s="89"/>
      <c r="G10" s="81"/>
      <c r="H10" s="82"/>
      <c r="I10" s="83" t="str">
        <f t="shared" si="2"/>
        <v/>
      </c>
      <c r="J10" s="361" t="str">
        <f t="shared" si="3"/>
        <v/>
      </c>
      <c r="K10" s="200">
        <v>7</v>
      </c>
      <c r="L10" s="133">
        <f t="shared" si="4"/>
        <v>0</v>
      </c>
      <c r="M10" s="135" t="s">
        <v>5</v>
      </c>
      <c r="N10" s="259">
        <f>IF(O10+AA10&lt;&gt;G48,1,0)</f>
        <v>0</v>
      </c>
      <c r="O10" s="1230">
        <f>SUM(O5:Z8)</f>
        <v>0</v>
      </c>
      <c r="P10" s="1231"/>
      <c r="Q10" s="1231"/>
      <c r="R10" s="1231"/>
      <c r="S10" s="1231"/>
      <c r="T10" s="1231"/>
      <c r="U10" s="1231"/>
      <c r="V10" s="1231"/>
      <c r="W10" s="1231"/>
      <c r="X10" s="1231"/>
      <c r="Y10" s="1231"/>
      <c r="Z10" s="1232"/>
      <c r="AA10" s="292">
        <f>+G48-AA7-AA6-AA5-AA8</f>
        <v>0</v>
      </c>
      <c r="AB10" s="293" t="s">
        <v>205</v>
      </c>
    </row>
    <row r="11" spans="1:28" ht="13.35" customHeight="1">
      <c r="A11" s="50" t="s">
        <v>5</v>
      </c>
      <c r="B11" s="141"/>
      <c r="C11" s="80"/>
      <c r="D11" s="93"/>
      <c r="E11" s="226"/>
      <c r="F11" s="89"/>
      <c r="G11" s="81"/>
      <c r="H11" s="82"/>
      <c r="I11" s="83" t="str">
        <f t="shared" si="2"/>
        <v/>
      </c>
      <c r="J11" s="361" t="str">
        <f t="shared" si="3"/>
        <v/>
      </c>
      <c r="K11" s="200">
        <v>8</v>
      </c>
      <c r="L11" s="133">
        <f t="shared" si="4"/>
        <v>0</v>
      </c>
      <c r="M11" s="135" t="s">
        <v>5</v>
      </c>
      <c r="O11" s="1219" t="str">
        <f>IF(N4&gt;0,"Fehler!","")</f>
        <v/>
      </c>
      <c r="P11" s="1219"/>
      <c r="Q11" s="1219"/>
      <c r="R11" s="1219"/>
      <c r="S11" s="1219"/>
      <c r="T11" s="1219"/>
      <c r="U11" s="1219"/>
      <c r="V11" s="1219"/>
      <c r="W11" s="1219"/>
      <c r="X11" s="1219"/>
      <c r="Y11" s="1219"/>
      <c r="Z11" s="1219"/>
    </row>
    <row r="12" spans="1:28" ht="13.35" customHeight="1">
      <c r="A12" s="50" t="s">
        <v>5</v>
      </c>
      <c r="B12" s="141"/>
      <c r="C12" s="80"/>
      <c r="D12" s="93"/>
      <c r="E12" s="226"/>
      <c r="F12" s="89"/>
      <c r="G12" s="81"/>
      <c r="H12" s="82"/>
      <c r="I12" s="83" t="str">
        <f t="shared" si="2"/>
        <v/>
      </c>
      <c r="J12" s="361" t="str">
        <f t="shared" si="3"/>
        <v/>
      </c>
      <c r="K12" s="200">
        <v>9</v>
      </c>
      <c r="L12" s="133">
        <f t="shared" si="4"/>
        <v>0</v>
      </c>
      <c r="M12" s="135" t="s">
        <v>5</v>
      </c>
      <c r="O12" s="203" t="s">
        <v>36</v>
      </c>
      <c r="P12" s="203" t="s">
        <v>37</v>
      </c>
      <c r="Q12" s="203" t="s">
        <v>38</v>
      </c>
      <c r="R12" s="203" t="s">
        <v>39</v>
      </c>
      <c r="S12" s="203" t="s">
        <v>40</v>
      </c>
      <c r="T12" s="203" t="s">
        <v>41</v>
      </c>
      <c r="U12" s="203" t="s">
        <v>42</v>
      </c>
      <c r="V12" s="203" t="s">
        <v>43</v>
      </c>
      <c r="W12" s="203" t="s">
        <v>44</v>
      </c>
      <c r="X12" s="203" t="s">
        <v>45</v>
      </c>
      <c r="Y12" s="203" t="s">
        <v>46</v>
      </c>
      <c r="Z12" s="203" t="s">
        <v>47</v>
      </c>
      <c r="AA12" s="221">
        <f>IF(O14+AA13&lt;&gt;H48,1,0)</f>
        <v>0</v>
      </c>
    </row>
    <row r="13" spans="1:28" ht="13.35" customHeight="1">
      <c r="A13" s="50" t="s">
        <v>5</v>
      </c>
      <c r="B13" s="141"/>
      <c r="C13" s="80"/>
      <c r="D13" s="93"/>
      <c r="E13" s="226"/>
      <c r="F13" s="89"/>
      <c r="G13" s="81"/>
      <c r="H13" s="82"/>
      <c r="I13" s="83" t="str">
        <f t="shared" si="2"/>
        <v/>
      </c>
      <c r="J13" s="361" t="str">
        <f t="shared" si="3"/>
        <v/>
      </c>
      <c r="K13" s="200">
        <v>10</v>
      </c>
      <c r="L13" s="133">
        <f t="shared" si="4"/>
        <v>0</v>
      </c>
      <c r="M13" s="135" t="s">
        <v>5</v>
      </c>
      <c r="O13" s="187">
        <f>SUMIF($L$3:$L$47,1,$I$3:$I$47)</f>
        <v>0</v>
      </c>
      <c r="P13" s="187">
        <f>SUMIF($L$3:$L$47,2,$I$3:$I$47)</f>
        <v>0</v>
      </c>
      <c r="Q13" s="187">
        <f>SUMIF($L$3:$L$47,3,$I$3:$I$47)</f>
        <v>0</v>
      </c>
      <c r="R13" s="187">
        <f>SUMIF($L$3:$L$47,4,$I$3:$I$47)</f>
        <v>0</v>
      </c>
      <c r="S13" s="187">
        <f>SUMIF($L$3:$L$47,5,$I$3:$I$47)</f>
        <v>0</v>
      </c>
      <c r="T13" s="187">
        <f>SUMIF($L$3:$L$47,6,$I$3:$I$47)</f>
        <v>0</v>
      </c>
      <c r="U13" s="187">
        <f>SUMIF($L$3:$L$47,7,$I$3:$I$47)</f>
        <v>0</v>
      </c>
      <c r="V13" s="187">
        <f>SUMIF($L$3:$L$47,8,$I$3:$I$47)</f>
        <v>0</v>
      </c>
      <c r="W13" s="187">
        <f>SUMIF($L$3:$L$47,9,$I$3:$I$47)</f>
        <v>0</v>
      </c>
      <c r="X13" s="187">
        <f>SUMIF($L$3:$L$47,10,$I$3:$I$47)</f>
        <v>0</v>
      </c>
      <c r="Y13" s="187">
        <f>SUMIF($L$3:$L$47,11,$I$3:$I$47)</f>
        <v>0</v>
      </c>
      <c r="Z13" s="187">
        <f>SUMIF($L$3:$L$47,12,$I$3:$I$47)</f>
        <v>0</v>
      </c>
      <c r="AA13" s="1220">
        <f>SUMIF($L$3:$L$47,0,$I$3:$I$47)</f>
        <v>0</v>
      </c>
      <c r="AB13" s="1221"/>
    </row>
    <row r="14" spans="1:28" ht="13.35" customHeight="1">
      <c r="A14" s="50" t="s">
        <v>5</v>
      </c>
      <c r="B14" s="141"/>
      <c r="C14" s="80"/>
      <c r="D14" s="93"/>
      <c r="E14" s="226"/>
      <c r="F14" s="89"/>
      <c r="G14" s="81"/>
      <c r="H14" s="82"/>
      <c r="I14" s="83" t="str">
        <f t="shared" si="2"/>
        <v/>
      </c>
      <c r="J14" s="361" t="str">
        <f t="shared" si="3"/>
        <v/>
      </c>
      <c r="K14" s="200">
        <v>11</v>
      </c>
      <c r="L14" s="133">
        <f t="shared" si="4"/>
        <v>0</v>
      </c>
      <c r="M14" s="135" t="s">
        <v>5</v>
      </c>
      <c r="O14" s="1299">
        <f>SUM(O13:Z13)</f>
        <v>0</v>
      </c>
      <c r="P14" s="1300"/>
      <c r="Q14" s="1300"/>
      <c r="R14" s="1300"/>
      <c r="S14" s="1300"/>
      <c r="T14" s="1300"/>
      <c r="U14" s="1300"/>
      <c r="V14" s="1300"/>
      <c r="W14" s="1300"/>
      <c r="X14" s="1300"/>
      <c r="Y14" s="1300"/>
      <c r="Z14" s="1301"/>
      <c r="AA14" s="1222">
        <f>SUM(O13:Z13)+AA13</f>
        <v>0</v>
      </c>
      <c r="AB14" s="1223"/>
    </row>
    <row r="15" spans="1:28" ht="13.35" customHeight="1">
      <c r="A15" s="50" t="s">
        <v>5</v>
      </c>
      <c r="B15" s="141"/>
      <c r="C15" s="260"/>
      <c r="D15" s="93"/>
      <c r="E15" s="226"/>
      <c r="F15" s="89"/>
      <c r="G15" s="81"/>
      <c r="H15" s="82"/>
      <c r="I15" s="83" t="str">
        <f t="shared" si="2"/>
        <v/>
      </c>
      <c r="J15" s="361" t="str">
        <f t="shared" si="3"/>
        <v/>
      </c>
      <c r="K15" s="200">
        <v>12</v>
      </c>
      <c r="L15" s="133">
        <f t="shared" si="4"/>
        <v>0</v>
      </c>
      <c r="M15" s="135" t="s">
        <v>5</v>
      </c>
      <c r="O15" s="244"/>
      <c r="P15" s="244"/>
      <c r="Q15" s="244"/>
      <c r="R15" s="244"/>
      <c r="S15" s="244"/>
      <c r="T15" s="244"/>
      <c r="U15" s="244"/>
      <c r="V15" s="244"/>
      <c r="W15" s="244"/>
      <c r="X15" s="244"/>
      <c r="Y15" s="244"/>
      <c r="Z15" s="244"/>
      <c r="AA15" s="244"/>
      <c r="AB15" s="244"/>
    </row>
    <row r="16" spans="1:28" ht="13.35" customHeight="1">
      <c r="A16" s="50" t="s">
        <v>5</v>
      </c>
      <c r="B16" s="141"/>
      <c r="C16" s="80"/>
      <c r="D16" s="93"/>
      <c r="E16" s="226"/>
      <c r="F16" s="89"/>
      <c r="G16" s="81"/>
      <c r="H16" s="82"/>
      <c r="I16" s="83" t="str">
        <f t="shared" si="2"/>
        <v/>
      </c>
      <c r="J16" s="361" t="str">
        <f t="shared" si="3"/>
        <v/>
      </c>
      <c r="K16" s="200">
        <v>13</v>
      </c>
      <c r="L16" s="133">
        <f t="shared" si="4"/>
        <v>0</v>
      </c>
      <c r="M16" s="135" t="s">
        <v>5</v>
      </c>
      <c r="O16" s="244"/>
      <c r="P16" s="244"/>
      <c r="Q16" s="244"/>
      <c r="R16" s="244"/>
      <c r="S16" s="244"/>
      <c r="T16" s="244"/>
      <c r="U16" s="244"/>
      <c r="V16" s="244"/>
      <c r="W16" s="244"/>
      <c r="X16" s="244"/>
      <c r="Y16" s="244"/>
      <c r="Z16" s="244"/>
      <c r="AA16" s="244"/>
      <c r="AB16" s="244"/>
    </row>
    <row r="17" spans="1:28" ht="13.35" customHeight="1">
      <c r="A17" s="50" t="s">
        <v>5</v>
      </c>
      <c r="B17" s="141"/>
      <c r="C17" s="80"/>
      <c r="D17" s="93"/>
      <c r="E17" s="226"/>
      <c r="F17" s="89"/>
      <c r="G17" s="81"/>
      <c r="H17" s="82"/>
      <c r="I17" s="83" t="str">
        <f t="shared" si="2"/>
        <v/>
      </c>
      <c r="J17" s="361" t="str">
        <f t="shared" si="3"/>
        <v/>
      </c>
      <c r="K17" s="200">
        <v>14</v>
      </c>
      <c r="L17" s="133">
        <f t="shared" si="4"/>
        <v>0</v>
      </c>
      <c r="M17" s="135" t="s">
        <v>5</v>
      </c>
      <c r="O17" s="244"/>
      <c r="P17" s="244"/>
      <c r="Q17" s="244"/>
      <c r="R17" s="244"/>
      <c r="S17" s="244"/>
      <c r="T17" s="244"/>
      <c r="U17" s="244"/>
      <c r="V17" s="244"/>
      <c r="W17" s="244"/>
      <c r="X17" s="244"/>
      <c r="Y17" s="244"/>
      <c r="Z17" s="244"/>
      <c r="AA17" s="244"/>
      <c r="AB17" s="244"/>
    </row>
    <row r="18" spans="1:28" ht="13.35" customHeight="1">
      <c r="A18" s="50" t="s">
        <v>5</v>
      </c>
      <c r="B18" s="141"/>
      <c r="C18" s="80"/>
      <c r="D18" s="93"/>
      <c r="E18" s="226"/>
      <c r="F18" s="89"/>
      <c r="G18" s="81"/>
      <c r="H18" s="82"/>
      <c r="I18" s="83" t="str">
        <f t="shared" si="2"/>
        <v/>
      </c>
      <c r="J18" s="361" t="str">
        <f t="shared" si="3"/>
        <v/>
      </c>
      <c r="K18" s="200">
        <v>15</v>
      </c>
      <c r="L18" s="133">
        <f t="shared" si="4"/>
        <v>0</v>
      </c>
      <c r="M18" s="135" t="s">
        <v>5</v>
      </c>
      <c r="O18" s="244"/>
      <c r="P18" s="244"/>
      <c r="Q18" s="244"/>
      <c r="R18" s="244"/>
      <c r="S18" s="244"/>
      <c r="T18" s="244"/>
      <c r="U18" s="244"/>
      <c r="V18" s="244"/>
      <c r="W18" s="244"/>
      <c r="X18" s="244"/>
      <c r="Y18" s="244"/>
      <c r="Z18" s="244"/>
      <c r="AA18" s="244"/>
      <c r="AB18" s="244"/>
    </row>
    <row r="19" spans="1:28" ht="13.35" customHeight="1">
      <c r="A19" s="50" t="s">
        <v>5</v>
      </c>
      <c r="B19" s="141"/>
      <c r="C19" s="80"/>
      <c r="D19" s="93"/>
      <c r="E19" s="226"/>
      <c r="F19" s="89"/>
      <c r="G19" s="81"/>
      <c r="H19" s="82"/>
      <c r="I19" s="83" t="str">
        <f t="shared" si="2"/>
        <v/>
      </c>
      <c r="J19" s="361" t="str">
        <f t="shared" si="3"/>
        <v/>
      </c>
      <c r="K19" s="200">
        <v>16</v>
      </c>
      <c r="L19" s="133">
        <f t="shared" si="4"/>
        <v>0</v>
      </c>
      <c r="M19" s="135" t="s">
        <v>5</v>
      </c>
      <c r="O19" s="244"/>
      <c r="P19" s="244"/>
      <c r="Q19" s="244"/>
      <c r="R19" s="244"/>
      <c r="S19" s="244"/>
      <c r="T19" s="244"/>
      <c r="U19" s="244"/>
      <c r="V19" s="244"/>
      <c r="W19" s="244"/>
      <c r="X19" s="244"/>
      <c r="Y19" s="244"/>
      <c r="Z19" s="244"/>
      <c r="AA19" s="244"/>
      <c r="AB19" s="244"/>
    </row>
    <row r="20" spans="1:28" ht="13.35" customHeight="1">
      <c r="A20" s="50" t="s">
        <v>5</v>
      </c>
      <c r="B20" s="141"/>
      <c r="C20" s="80"/>
      <c r="D20" s="93"/>
      <c r="E20" s="226"/>
      <c r="F20" s="89"/>
      <c r="G20" s="81"/>
      <c r="H20" s="82"/>
      <c r="I20" s="83" t="str">
        <f t="shared" si="2"/>
        <v/>
      </c>
      <c r="J20" s="361" t="str">
        <f t="shared" si="3"/>
        <v/>
      </c>
      <c r="K20" s="200">
        <v>17</v>
      </c>
      <c r="L20" s="133">
        <f t="shared" si="4"/>
        <v>0</v>
      </c>
      <c r="M20" s="135" t="s">
        <v>5</v>
      </c>
      <c r="O20" s="244"/>
      <c r="P20" s="244"/>
      <c r="Q20" s="244"/>
      <c r="R20" s="244"/>
      <c r="S20" s="244"/>
      <c r="T20" s="244"/>
      <c r="U20" s="244"/>
      <c r="V20" s="244"/>
      <c r="W20" s="244"/>
      <c r="X20" s="244"/>
      <c r="Y20" s="244"/>
      <c r="Z20" s="244"/>
      <c r="AA20" s="244"/>
      <c r="AB20" s="244"/>
    </row>
    <row r="21" spans="1:28" ht="13.35" customHeight="1">
      <c r="A21" s="50" t="s">
        <v>5</v>
      </c>
      <c r="B21" s="141"/>
      <c r="C21" s="80"/>
      <c r="D21" s="93"/>
      <c r="E21" s="226"/>
      <c r="F21" s="89"/>
      <c r="G21" s="81"/>
      <c r="H21" s="82"/>
      <c r="I21" s="83" t="str">
        <f t="shared" si="2"/>
        <v/>
      </c>
      <c r="J21" s="361" t="str">
        <f t="shared" si="3"/>
        <v/>
      </c>
      <c r="K21" s="200">
        <v>18</v>
      </c>
      <c r="L21" s="133">
        <f t="shared" si="4"/>
        <v>0</v>
      </c>
      <c r="M21" s="135" t="s">
        <v>5</v>
      </c>
      <c r="O21" s="244"/>
      <c r="P21" s="244"/>
      <c r="Q21" s="244"/>
      <c r="R21" s="244"/>
      <c r="S21" s="244"/>
      <c r="T21" s="244"/>
      <c r="U21" s="244"/>
      <c r="V21" s="244"/>
      <c r="W21" s="244"/>
      <c r="X21" s="244"/>
      <c r="Y21" s="244"/>
      <c r="Z21" s="244"/>
      <c r="AA21" s="244"/>
      <c r="AB21" s="244"/>
    </row>
    <row r="22" spans="1:28" ht="13.35" customHeight="1">
      <c r="A22" s="50" t="s">
        <v>5</v>
      </c>
      <c r="B22" s="141"/>
      <c r="C22" s="80"/>
      <c r="D22" s="93"/>
      <c r="E22" s="226"/>
      <c r="F22" s="89"/>
      <c r="G22" s="81"/>
      <c r="H22" s="82"/>
      <c r="I22" s="83" t="str">
        <f t="shared" si="2"/>
        <v/>
      </c>
      <c r="J22" s="361" t="str">
        <f t="shared" si="3"/>
        <v/>
      </c>
      <c r="K22" s="200">
        <v>19</v>
      </c>
      <c r="L22" s="133">
        <f t="shared" si="4"/>
        <v>0</v>
      </c>
      <c r="M22" s="135" t="s">
        <v>5</v>
      </c>
      <c r="O22" s="244"/>
      <c r="P22" s="244"/>
      <c r="Q22" s="244"/>
      <c r="R22" s="244"/>
      <c r="S22" s="244"/>
      <c r="T22" s="244"/>
      <c r="U22" s="244"/>
      <c r="V22" s="244"/>
      <c r="W22" s="244"/>
      <c r="X22" s="244"/>
      <c r="Y22" s="244"/>
      <c r="Z22" s="244"/>
      <c r="AA22" s="244"/>
      <c r="AB22" s="244"/>
    </row>
    <row r="23" spans="1:28" ht="13.35" customHeight="1">
      <c r="A23" s="50" t="s">
        <v>5</v>
      </c>
      <c r="B23" s="141"/>
      <c r="C23" s="80"/>
      <c r="D23" s="94"/>
      <c r="E23" s="226"/>
      <c r="F23" s="89"/>
      <c r="G23" s="81"/>
      <c r="H23" s="82"/>
      <c r="I23" s="83" t="str">
        <f t="shared" si="2"/>
        <v/>
      </c>
      <c r="J23" s="361" t="str">
        <f t="shared" si="3"/>
        <v/>
      </c>
      <c r="K23" s="200">
        <v>20</v>
      </c>
      <c r="L23" s="133">
        <f t="shared" si="4"/>
        <v>0</v>
      </c>
      <c r="M23" s="135" t="s">
        <v>5</v>
      </c>
      <c r="O23" s="244"/>
      <c r="P23" s="244"/>
      <c r="Q23" s="244"/>
      <c r="R23" s="244"/>
      <c r="S23" s="244"/>
      <c r="T23" s="244"/>
      <c r="U23" s="244"/>
      <c r="V23" s="244"/>
      <c r="W23" s="244"/>
      <c r="X23" s="244"/>
      <c r="Y23" s="244"/>
      <c r="Z23" s="244"/>
      <c r="AA23" s="244"/>
      <c r="AB23" s="244"/>
    </row>
    <row r="24" spans="1:28" ht="13.35" customHeight="1">
      <c r="A24" s="50" t="s">
        <v>5</v>
      </c>
      <c r="B24" s="141"/>
      <c r="C24" s="80"/>
      <c r="D24" s="93"/>
      <c r="E24" s="226"/>
      <c r="F24" s="89"/>
      <c r="G24" s="81"/>
      <c r="H24" s="82"/>
      <c r="I24" s="83" t="str">
        <f t="shared" si="2"/>
        <v/>
      </c>
      <c r="J24" s="361" t="str">
        <f t="shared" si="3"/>
        <v/>
      </c>
      <c r="K24" s="200">
        <v>21</v>
      </c>
      <c r="L24" s="133">
        <f t="shared" si="4"/>
        <v>0</v>
      </c>
      <c r="M24" s="135" t="s">
        <v>5</v>
      </c>
      <c r="O24" s="244"/>
      <c r="P24" s="244"/>
      <c r="Q24" s="244"/>
      <c r="R24" s="244"/>
      <c r="S24" s="244"/>
      <c r="T24" s="244"/>
      <c r="U24" s="244"/>
      <c r="V24" s="244"/>
      <c r="W24" s="244"/>
      <c r="X24" s="244"/>
      <c r="Y24" s="244"/>
      <c r="Z24" s="244"/>
      <c r="AA24" s="244"/>
      <c r="AB24" s="244"/>
    </row>
    <row r="25" spans="1:28" ht="13.35" customHeight="1">
      <c r="A25" s="50" t="s">
        <v>5</v>
      </c>
      <c r="B25" s="141"/>
      <c r="C25" s="80"/>
      <c r="D25" s="93"/>
      <c r="E25" s="226"/>
      <c r="F25" s="89"/>
      <c r="G25" s="81"/>
      <c r="H25" s="82"/>
      <c r="I25" s="83" t="str">
        <f t="shared" si="2"/>
        <v/>
      </c>
      <c r="J25" s="361" t="str">
        <f t="shared" si="3"/>
        <v/>
      </c>
      <c r="K25" s="200">
        <v>22</v>
      </c>
      <c r="L25" s="133">
        <f t="shared" si="4"/>
        <v>0</v>
      </c>
      <c r="M25" s="135" t="s">
        <v>5</v>
      </c>
      <c r="O25" s="244"/>
      <c r="P25" s="244"/>
      <c r="Q25" s="244"/>
      <c r="R25" s="244"/>
      <c r="S25" s="244"/>
      <c r="T25" s="244"/>
      <c r="U25" s="244"/>
      <c r="V25" s="244"/>
      <c r="W25" s="244"/>
      <c r="X25" s="244"/>
      <c r="Y25" s="244"/>
      <c r="Z25" s="244"/>
      <c r="AA25" s="244"/>
      <c r="AB25" s="244"/>
    </row>
    <row r="26" spans="1:28" ht="13.35" customHeight="1">
      <c r="A26" s="50" t="s">
        <v>5</v>
      </c>
      <c r="B26" s="141"/>
      <c r="C26" s="80"/>
      <c r="D26" s="93"/>
      <c r="E26" s="226"/>
      <c r="F26" s="89"/>
      <c r="G26" s="81"/>
      <c r="H26" s="82"/>
      <c r="I26" s="83" t="str">
        <f t="shared" si="2"/>
        <v/>
      </c>
      <c r="J26" s="361" t="str">
        <f t="shared" si="3"/>
        <v/>
      </c>
      <c r="K26" s="200">
        <v>23</v>
      </c>
      <c r="L26" s="133">
        <f t="shared" si="4"/>
        <v>0</v>
      </c>
      <c r="M26" s="135" t="s">
        <v>5</v>
      </c>
      <c r="O26" s="244"/>
      <c r="P26" s="244"/>
      <c r="Q26" s="244"/>
      <c r="R26" s="244"/>
      <c r="S26" s="244"/>
      <c r="T26" s="244"/>
      <c r="U26" s="244"/>
      <c r="V26" s="244"/>
      <c r="W26" s="244"/>
      <c r="X26" s="244"/>
      <c r="Y26" s="244"/>
      <c r="Z26" s="244"/>
      <c r="AA26" s="244"/>
      <c r="AB26" s="244"/>
    </row>
    <row r="27" spans="1:28" ht="13.35" customHeight="1">
      <c r="A27" s="50" t="s">
        <v>5</v>
      </c>
      <c r="B27" s="141"/>
      <c r="C27" s="80"/>
      <c r="D27" s="93"/>
      <c r="E27" s="226"/>
      <c r="F27" s="89"/>
      <c r="G27" s="81"/>
      <c r="H27" s="82"/>
      <c r="I27" s="83" t="str">
        <f t="shared" si="2"/>
        <v/>
      </c>
      <c r="J27" s="361" t="str">
        <f t="shared" si="3"/>
        <v/>
      </c>
      <c r="K27" s="200">
        <v>24</v>
      </c>
      <c r="L27" s="133">
        <f t="shared" si="4"/>
        <v>0</v>
      </c>
      <c r="M27" s="135" t="s">
        <v>5</v>
      </c>
      <c r="O27" s="244"/>
      <c r="P27" s="244"/>
      <c r="Q27" s="244"/>
      <c r="R27" s="244"/>
      <c r="S27" s="244"/>
      <c r="T27" s="244"/>
      <c r="U27" s="244"/>
      <c r="V27" s="244"/>
      <c r="W27" s="244"/>
      <c r="X27" s="244"/>
      <c r="Y27" s="244"/>
      <c r="Z27" s="244"/>
      <c r="AA27" s="244"/>
      <c r="AB27" s="244"/>
    </row>
    <row r="28" spans="1:28" ht="13.35" customHeight="1">
      <c r="A28" s="50" t="s">
        <v>5</v>
      </c>
      <c r="B28" s="141"/>
      <c r="C28" s="80"/>
      <c r="D28" s="93"/>
      <c r="E28" s="226"/>
      <c r="F28" s="89"/>
      <c r="G28" s="81"/>
      <c r="H28" s="82"/>
      <c r="I28" s="83" t="str">
        <f t="shared" si="2"/>
        <v/>
      </c>
      <c r="J28" s="361" t="str">
        <f t="shared" si="3"/>
        <v/>
      </c>
      <c r="K28" s="200">
        <v>25</v>
      </c>
      <c r="L28" s="133">
        <f t="shared" si="4"/>
        <v>0</v>
      </c>
      <c r="M28" s="135" t="s">
        <v>5</v>
      </c>
      <c r="O28" s="244"/>
      <c r="P28" s="244"/>
      <c r="Q28" s="244"/>
      <c r="R28" s="244"/>
      <c r="S28" s="244"/>
      <c r="T28" s="244"/>
      <c r="U28" s="244"/>
      <c r="V28" s="244"/>
      <c r="W28" s="244"/>
      <c r="X28" s="244"/>
      <c r="Y28" s="244"/>
      <c r="Z28" s="244"/>
      <c r="AA28" s="244"/>
      <c r="AB28" s="244"/>
    </row>
    <row r="29" spans="1:28" ht="13.35" customHeight="1">
      <c r="A29" s="50" t="s">
        <v>5</v>
      </c>
      <c r="B29" s="141"/>
      <c r="C29" s="80"/>
      <c r="D29" s="93"/>
      <c r="E29" s="226"/>
      <c r="F29" s="89"/>
      <c r="G29" s="81"/>
      <c r="H29" s="82"/>
      <c r="I29" s="83" t="str">
        <f t="shared" si="2"/>
        <v/>
      </c>
      <c r="J29" s="361" t="str">
        <f t="shared" si="3"/>
        <v/>
      </c>
      <c r="K29" s="200">
        <v>26</v>
      </c>
      <c r="L29" s="133">
        <f t="shared" si="4"/>
        <v>0</v>
      </c>
      <c r="M29" s="135" t="s">
        <v>5</v>
      </c>
      <c r="O29" s="244"/>
      <c r="P29" s="244"/>
      <c r="Q29" s="244"/>
      <c r="R29" s="244"/>
      <c r="S29" s="244"/>
      <c r="T29" s="244"/>
      <c r="U29" s="244"/>
      <c r="V29" s="244"/>
      <c r="W29" s="244"/>
      <c r="X29" s="244"/>
      <c r="Y29" s="244"/>
      <c r="Z29" s="244"/>
      <c r="AA29" s="244"/>
      <c r="AB29" s="244"/>
    </row>
    <row r="30" spans="1:28" ht="13.35" customHeight="1">
      <c r="A30" s="50" t="s">
        <v>5</v>
      </c>
      <c r="B30" s="141"/>
      <c r="C30" s="80"/>
      <c r="D30" s="93"/>
      <c r="E30" s="226"/>
      <c r="F30" s="89"/>
      <c r="G30" s="81"/>
      <c r="H30" s="82"/>
      <c r="I30" s="83" t="str">
        <f t="shared" si="2"/>
        <v/>
      </c>
      <c r="J30" s="361" t="str">
        <f t="shared" si="3"/>
        <v/>
      </c>
      <c r="K30" s="200">
        <v>27</v>
      </c>
      <c r="L30" s="133">
        <f t="shared" si="4"/>
        <v>0</v>
      </c>
      <c r="M30" s="135" t="s">
        <v>5</v>
      </c>
      <c r="O30" s="244"/>
      <c r="P30" s="244"/>
      <c r="Q30" s="244"/>
      <c r="R30" s="244"/>
      <c r="S30" s="244"/>
      <c r="T30" s="244"/>
      <c r="U30" s="244"/>
      <c r="V30" s="244"/>
      <c r="W30" s="244"/>
      <c r="X30" s="244"/>
      <c r="Y30" s="244"/>
      <c r="Z30" s="244"/>
      <c r="AA30" s="244"/>
      <c r="AB30" s="244"/>
    </row>
    <row r="31" spans="1:28" ht="13.35" customHeight="1">
      <c r="A31" s="50" t="s">
        <v>5</v>
      </c>
      <c r="B31" s="141"/>
      <c r="C31" s="80"/>
      <c r="D31" s="93"/>
      <c r="E31" s="226"/>
      <c r="F31" s="89"/>
      <c r="G31" s="81"/>
      <c r="H31" s="82"/>
      <c r="I31" s="83" t="str">
        <f t="shared" si="2"/>
        <v/>
      </c>
      <c r="J31" s="361" t="str">
        <f t="shared" si="3"/>
        <v/>
      </c>
      <c r="K31" s="200">
        <v>28</v>
      </c>
      <c r="L31" s="133">
        <f t="shared" si="4"/>
        <v>0</v>
      </c>
      <c r="M31" s="135" t="s">
        <v>5</v>
      </c>
      <c r="O31" s="244"/>
      <c r="P31" s="244"/>
      <c r="Q31" s="244"/>
      <c r="R31" s="244"/>
      <c r="S31" s="244"/>
      <c r="T31" s="244"/>
      <c r="U31" s="244"/>
      <c r="V31" s="244"/>
      <c r="W31" s="244"/>
      <c r="X31" s="244"/>
      <c r="Y31" s="244"/>
      <c r="Z31" s="244"/>
      <c r="AA31" s="244"/>
      <c r="AB31" s="244"/>
    </row>
    <row r="32" spans="1:28" ht="13.35" customHeight="1">
      <c r="A32" s="50" t="s">
        <v>5</v>
      </c>
      <c r="B32" s="141"/>
      <c r="C32" s="80"/>
      <c r="D32" s="93"/>
      <c r="E32" s="226"/>
      <c r="F32" s="89"/>
      <c r="G32" s="81"/>
      <c r="H32" s="82"/>
      <c r="I32" s="83" t="str">
        <f t="shared" si="2"/>
        <v/>
      </c>
      <c r="J32" s="361" t="str">
        <f t="shared" si="3"/>
        <v/>
      </c>
      <c r="K32" s="200">
        <v>29</v>
      </c>
      <c r="L32" s="133">
        <f t="shared" si="4"/>
        <v>0</v>
      </c>
      <c r="M32" s="135" t="s">
        <v>5</v>
      </c>
      <c r="O32" s="244"/>
      <c r="P32" s="244"/>
      <c r="Q32" s="244"/>
      <c r="R32" s="244"/>
      <c r="S32" s="244"/>
      <c r="T32" s="244"/>
      <c r="U32" s="244"/>
      <c r="V32" s="244"/>
      <c r="W32" s="244"/>
      <c r="X32" s="244"/>
      <c r="Y32" s="244"/>
      <c r="Z32" s="244"/>
      <c r="AA32" s="244"/>
      <c r="AB32" s="244"/>
    </row>
    <row r="33" spans="1:28" ht="13.35" customHeight="1">
      <c r="A33" s="50" t="s">
        <v>5</v>
      </c>
      <c r="B33" s="141"/>
      <c r="C33" s="80"/>
      <c r="D33" s="93"/>
      <c r="E33" s="226"/>
      <c r="F33" s="89"/>
      <c r="G33" s="81"/>
      <c r="H33" s="82"/>
      <c r="I33" s="83" t="str">
        <f t="shared" si="2"/>
        <v/>
      </c>
      <c r="J33" s="361" t="str">
        <f t="shared" si="3"/>
        <v/>
      </c>
      <c r="K33" s="200">
        <v>30</v>
      </c>
      <c r="L33" s="133">
        <f t="shared" si="4"/>
        <v>0</v>
      </c>
      <c r="M33" s="135" t="s">
        <v>5</v>
      </c>
      <c r="O33" s="244"/>
      <c r="P33" s="244"/>
      <c r="Q33" s="244"/>
      <c r="R33" s="244"/>
      <c r="S33" s="244"/>
      <c r="T33" s="244"/>
      <c r="U33" s="244"/>
      <c r="V33" s="244"/>
      <c r="W33" s="244"/>
      <c r="X33" s="244"/>
      <c r="Y33" s="244"/>
      <c r="Z33" s="244"/>
      <c r="AA33" s="244"/>
      <c r="AB33" s="244"/>
    </row>
    <row r="34" spans="1:28" ht="13.35" customHeight="1">
      <c r="A34" s="50" t="s">
        <v>5</v>
      </c>
      <c r="B34" s="141"/>
      <c r="C34" s="80"/>
      <c r="D34" s="93"/>
      <c r="E34" s="226"/>
      <c r="F34" s="89"/>
      <c r="G34" s="81"/>
      <c r="H34" s="82"/>
      <c r="I34" s="83" t="str">
        <f t="shared" si="2"/>
        <v/>
      </c>
      <c r="J34" s="361" t="str">
        <f t="shared" si="3"/>
        <v/>
      </c>
      <c r="K34" s="200">
        <v>31</v>
      </c>
      <c r="L34" s="133">
        <f t="shared" si="4"/>
        <v>0</v>
      </c>
      <c r="M34" s="135" t="s">
        <v>5</v>
      </c>
      <c r="O34" s="244"/>
      <c r="P34" s="244"/>
      <c r="Q34" s="244"/>
      <c r="R34" s="244"/>
      <c r="S34" s="244"/>
      <c r="T34" s="244"/>
      <c r="U34" s="244"/>
      <c r="V34" s="244"/>
      <c r="W34" s="244"/>
      <c r="X34" s="244"/>
      <c r="Y34" s="244"/>
      <c r="Z34" s="244"/>
      <c r="AA34" s="244"/>
      <c r="AB34" s="244"/>
    </row>
    <row r="35" spans="1:28" ht="13.35" customHeight="1">
      <c r="A35" s="50" t="s">
        <v>5</v>
      </c>
      <c r="B35" s="141"/>
      <c r="C35" s="80"/>
      <c r="D35" s="93"/>
      <c r="E35" s="226"/>
      <c r="F35" s="89"/>
      <c r="G35" s="81"/>
      <c r="H35" s="82"/>
      <c r="I35" s="83" t="str">
        <f t="shared" si="2"/>
        <v/>
      </c>
      <c r="J35" s="361" t="str">
        <f t="shared" si="3"/>
        <v/>
      </c>
      <c r="K35" s="200">
        <v>32</v>
      </c>
      <c r="L35" s="133">
        <f t="shared" si="4"/>
        <v>0</v>
      </c>
      <c r="M35" s="135" t="s">
        <v>5</v>
      </c>
      <c r="O35" s="244"/>
      <c r="P35" s="244"/>
      <c r="Q35" s="244"/>
      <c r="R35" s="244"/>
      <c r="S35" s="244"/>
      <c r="T35" s="244"/>
      <c r="U35" s="244"/>
      <c r="V35" s="244"/>
      <c r="W35" s="244"/>
      <c r="X35" s="244"/>
      <c r="Y35" s="244"/>
      <c r="Z35" s="244"/>
      <c r="AA35" s="244"/>
      <c r="AB35" s="244"/>
    </row>
    <row r="36" spans="1:28" ht="13.35" customHeight="1">
      <c r="A36" s="50" t="s">
        <v>5</v>
      </c>
      <c r="B36" s="141"/>
      <c r="C36" s="80"/>
      <c r="D36" s="93"/>
      <c r="E36" s="226"/>
      <c r="F36" s="89"/>
      <c r="G36" s="81"/>
      <c r="H36" s="82"/>
      <c r="I36" s="83" t="str">
        <f t="shared" si="2"/>
        <v/>
      </c>
      <c r="J36" s="361" t="str">
        <f t="shared" si="3"/>
        <v/>
      </c>
      <c r="K36" s="200">
        <v>33</v>
      </c>
      <c r="L36" s="133">
        <f t="shared" si="4"/>
        <v>0</v>
      </c>
      <c r="M36" s="135" t="s">
        <v>5</v>
      </c>
      <c r="O36" s="244"/>
      <c r="P36" s="244"/>
      <c r="Q36" s="244"/>
      <c r="R36" s="244"/>
      <c r="S36" s="244"/>
      <c r="T36" s="244"/>
      <c r="U36" s="244"/>
      <c r="V36" s="244"/>
      <c r="W36" s="244"/>
      <c r="X36" s="244"/>
      <c r="Y36" s="244"/>
      <c r="Z36" s="244"/>
      <c r="AA36" s="244"/>
      <c r="AB36" s="244"/>
    </row>
    <row r="37" spans="1:28" ht="13.35" customHeight="1">
      <c r="A37" s="50" t="s">
        <v>5</v>
      </c>
      <c r="B37" s="141"/>
      <c r="C37" s="80"/>
      <c r="D37" s="93"/>
      <c r="E37" s="226"/>
      <c r="F37" s="89"/>
      <c r="G37" s="81"/>
      <c r="H37" s="82"/>
      <c r="I37" s="83" t="str">
        <f t="shared" si="2"/>
        <v/>
      </c>
      <c r="J37" s="361" t="str">
        <f t="shared" si="3"/>
        <v/>
      </c>
      <c r="K37" s="200">
        <v>34</v>
      </c>
      <c r="L37" s="133">
        <f t="shared" si="4"/>
        <v>0</v>
      </c>
      <c r="M37" s="135" t="s">
        <v>5</v>
      </c>
      <c r="O37" s="244"/>
      <c r="P37" s="244"/>
      <c r="Q37" s="244"/>
      <c r="R37" s="244"/>
      <c r="S37" s="244"/>
      <c r="T37" s="244"/>
      <c r="U37" s="244"/>
      <c r="V37" s="244"/>
      <c r="W37" s="244"/>
      <c r="X37" s="244"/>
      <c r="Y37" s="244"/>
      <c r="Z37" s="244"/>
      <c r="AA37" s="244"/>
      <c r="AB37" s="244"/>
    </row>
    <row r="38" spans="1:28" ht="13.35" customHeight="1">
      <c r="A38" s="50" t="s">
        <v>5</v>
      </c>
      <c r="B38" s="141"/>
      <c r="C38" s="80"/>
      <c r="D38" s="93"/>
      <c r="E38" s="226"/>
      <c r="F38" s="89"/>
      <c r="G38" s="81"/>
      <c r="H38" s="82"/>
      <c r="I38" s="83" t="str">
        <f t="shared" si="2"/>
        <v/>
      </c>
      <c r="J38" s="361" t="str">
        <f t="shared" si="3"/>
        <v/>
      </c>
      <c r="K38" s="200">
        <v>35</v>
      </c>
      <c r="L38" s="133">
        <f t="shared" si="4"/>
        <v>0</v>
      </c>
      <c r="M38" s="135" t="s">
        <v>5</v>
      </c>
      <c r="O38" s="244"/>
      <c r="P38" s="244"/>
      <c r="Q38" s="244"/>
      <c r="R38" s="244"/>
      <c r="S38" s="244"/>
      <c r="T38" s="244"/>
      <c r="U38" s="244"/>
      <c r="V38" s="244"/>
      <c r="W38" s="244"/>
      <c r="X38" s="244"/>
      <c r="Y38" s="244"/>
      <c r="Z38" s="244"/>
      <c r="AA38" s="244"/>
      <c r="AB38" s="244"/>
    </row>
    <row r="39" spans="1:28" ht="13.35" customHeight="1">
      <c r="A39" s="50" t="s">
        <v>5</v>
      </c>
      <c r="B39" s="141"/>
      <c r="C39" s="80"/>
      <c r="D39" s="93"/>
      <c r="E39" s="226"/>
      <c r="F39" s="89"/>
      <c r="G39" s="81"/>
      <c r="H39" s="82"/>
      <c r="I39" s="83" t="str">
        <f t="shared" si="2"/>
        <v/>
      </c>
      <c r="J39" s="361" t="str">
        <f t="shared" si="3"/>
        <v/>
      </c>
      <c r="K39" s="200">
        <v>36</v>
      </c>
      <c r="L39" s="133">
        <f t="shared" si="4"/>
        <v>0</v>
      </c>
      <c r="M39" s="135" t="s">
        <v>5</v>
      </c>
      <c r="O39" s="244"/>
      <c r="P39" s="244"/>
      <c r="Q39" s="244"/>
      <c r="R39" s="244"/>
      <c r="S39" s="244"/>
      <c r="T39" s="244"/>
      <c r="U39" s="244"/>
      <c r="V39" s="244"/>
      <c r="W39" s="244"/>
      <c r="X39" s="244"/>
      <c r="Y39" s="244"/>
      <c r="Z39" s="244"/>
      <c r="AA39" s="244"/>
      <c r="AB39" s="244"/>
    </row>
    <row r="40" spans="1:28" ht="13.35" customHeight="1">
      <c r="A40" s="50" t="s">
        <v>5</v>
      </c>
      <c r="B40" s="141"/>
      <c r="C40" s="80"/>
      <c r="D40" s="93"/>
      <c r="E40" s="226"/>
      <c r="F40" s="89"/>
      <c r="G40" s="81"/>
      <c r="H40" s="82"/>
      <c r="I40" s="83" t="str">
        <f t="shared" si="2"/>
        <v/>
      </c>
      <c r="J40" s="361" t="str">
        <f t="shared" si="3"/>
        <v/>
      </c>
      <c r="K40" s="200">
        <v>37</v>
      </c>
      <c r="L40" s="133">
        <f t="shared" si="4"/>
        <v>0</v>
      </c>
      <c r="M40" s="135" t="s">
        <v>5</v>
      </c>
      <c r="O40" s="244"/>
      <c r="P40" s="244"/>
      <c r="Q40" s="244"/>
      <c r="R40" s="244"/>
      <c r="S40" s="244"/>
      <c r="T40" s="244"/>
      <c r="U40" s="244"/>
      <c r="V40" s="244"/>
      <c r="W40" s="244"/>
      <c r="X40" s="244"/>
      <c r="Y40" s="244"/>
      <c r="Z40" s="244"/>
      <c r="AA40" s="244"/>
      <c r="AB40" s="244"/>
    </row>
    <row r="41" spans="1:28" ht="13.35" customHeight="1">
      <c r="A41" s="50" t="s">
        <v>5</v>
      </c>
      <c r="B41" s="141"/>
      <c r="C41" s="80"/>
      <c r="D41" s="93"/>
      <c r="E41" s="226"/>
      <c r="F41" s="89"/>
      <c r="G41" s="81"/>
      <c r="H41" s="82"/>
      <c r="I41" s="83" t="str">
        <f t="shared" si="2"/>
        <v/>
      </c>
      <c r="J41" s="361" t="str">
        <f t="shared" si="3"/>
        <v/>
      </c>
      <c r="K41" s="200">
        <v>38</v>
      </c>
      <c r="L41" s="133">
        <f t="shared" si="4"/>
        <v>0</v>
      </c>
      <c r="M41" s="135" t="s">
        <v>5</v>
      </c>
      <c r="O41" s="244"/>
      <c r="P41" s="244"/>
      <c r="Q41" s="244"/>
      <c r="R41" s="244"/>
      <c r="S41" s="244"/>
      <c r="T41" s="244"/>
      <c r="U41" s="244"/>
      <c r="V41" s="244"/>
      <c r="W41" s="244"/>
      <c r="X41" s="244"/>
      <c r="Y41" s="244"/>
      <c r="Z41" s="244"/>
      <c r="AA41" s="244"/>
      <c r="AB41" s="244"/>
    </row>
    <row r="42" spans="1:28" ht="13.35" customHeight="1">
      <c r="A42" s="50" t="s">
        <v>5</v>
      </c>
      <c r="B42" s="141"/>
      <c r="C42" s="80"/>
      <c r="D42" s="93"/>
      <c r="E42" s="226"/>
      <c r="F42" s="89"/>
      <c r="G42" s="81"/>
      <c r="H42" s="82"/>
      <c r="I42" s="83" t="str">
        <f t="shared" si="2"/>
        <v/>
      </c>
      <c r="J42" s="361" t="str">
        <f t="shared" si="3"/>
        <v/>
      </c>
      <c r="K42" s="200">
        <v>39</v>
      </c>
      <c r="L42" s="133">
        <f t="shared" si="4"/>
        <v>0</v>
      </c>
      <c r="M42" s="135" t="s">
        <v>5</v>
      </c>
      <c r="O42" s="244"/>
      <c r="P42" s="244"/>
      <c r="Q42" s="244"/>
      <c r="R42" s="244"/>
      <c r="S42" s="244"/>
      <c r="T42" s="244"/>
      <c r="U42" s="244"/>
      <c r="V42" s="244"/>
      <c r="W42" s="244"/>
      <c r="X42" s="244"/>
      <c r="Y42" s="244"/>
      <c r="Z42" s="244"/>
      <c r="AA42" s="244"/>
      <c r="AB42" s="244"/>
    </row>
    <row r="43" spans="1:28" ht="13.35" customHeight="1">
      <c r="A43" s="50" t="s">
        <v>5</v>
      </c>
      <c r="B43" s="141"/>
      <c r="C43" s="80"/>
      <c r="D43" s="93"/>
      <c r="E43" s="226"/>
      <c r="F43" s="89"/>
      <c r="G43" s="81"/>
      <c r="H43" s="82"/>
      <c r="I43" s="83" t="str">
        <f t="shared" si="2"/>
        <v/>
      </c>
      <c r="J43" s="361" t="str">
        <f t="shared" si="3"/>
        <v/>
      </c>
      <c r="K43" s="200">
        <v>40</v>
      </c>
      <c r="L43" s="133">
        <f t="shared" si="4"/>
        <v>0</v>
      </c>
      <c r="M43" s="135" t="s">
        <v>5</v>
      </c>
      <c r="O43" s="244"/>
      <c r="P43" s="244"/>
      <c r="Q43" s="244"/>
      <c r="R43" s="244"/>
      <c r="S43" s="244"/>
      <c r="T43" s="244"/>
      <c r="U43" s="244"/>
      <c r="V43" s="244"/>
      <c r="W43" s="244"/>
      <c r="X43" s="244"/>
      <c r="Y43" s="244"/>
      <c r="Z43" s="244"/>
      <c r="AA43" s="244"/>
      <c r="AB43" s="244"/>
    </row>
    <row r="44" spans="1:28" ht="13.35" customHeight="1">
      <c r="A44" s="50" t="s">
        <v>5</v>
      </c>
      <c r="B44" s="141"/>
      <c r="C44" s="80"/>
      <c r="D44" s="93"/>
      <c r="E44" s="226"/>
      <c r="F44" s="89"/>
      <c r="G44" s="81"/>
      <c r="H44" s="82"/>
      <c r="I44" s="83" t="str">
        <f t="shared" si="2"/>
        <v/>
      </c>
      <c r="J44" s="361" t="str">
        <f t="shared" si="3"/>
        <v/>
      </c>
      <c r="K44" s="200">
        <v>41</v>
      </c>
      <c r="L44" s="133">
        <f t="shared" si="4"/>
        <v>0</v>
      </c>
      <c r="M44" s="135" t="s">
        <v>5</v>
      </c>
      <c r="O44" s="244"/>
      <c r="P44" s="244"/>
      <c r="Q44" s="244"/>
      <c r="R44" s="244"/>
      <c r="S44" s="244"/>
      <c r="T44" s="244"/>
      <c r="U44" s="244"/>
      <c r="V44" s="244"/>
      <c r="W44" s="244"/>
      <c r="X44" s="244"/>
      <c r="Y44" s="244"/>
      <c r="Z44" s="244"/>
      <c r="AA44" s="244"/>
      <c r="AB44" s="244"/>
    </row>
    <row r="45" spans="1:28" ht="13.35" customHeight="1">
      <c r="A45" s="50" t="s">
        <v>5</v>
      </c>
      <c r="B45" s="141"/>
      <c r="C45" s="80"/>
      <c r="D45" s="93"/>
      <c r="E45" s="226"/>
      <c r="F45" s="89"/>
      <c r="G45" s="81"/>
      <c r="H45" s="82"/>
      <c r="I45" s="83" t="str">
        <f t="shared" ref="I45:I46" si="7">IF(G45&lt;&gt;"",+G45-G45/(1+H45/100),"")</f>
        <v/>
      </c>
      <c r="J45" s="361" t="str">
        <f t="shared" ref="J45:J46" si="8">IF(G45&lt;&gt;0,+G45-I45,"")</f>
        <v/>
      </c>
      <c r="K45" s="200">
        <v>44</v>
      </c>
      <c r="L45" s="133">
        <f t="shared" ref="L45:L46" si="9">IF(B45&lt;$O$2,0,IF(B45&lt;$P$2,1,IF(B45&lt;$Q$2,2,IF(B45&lt;$R$2,3,IF(B45&lt;$S$2,4,IF(B45&lt;$T$2,5,IF(B45&lt;$U$2,6,IF(B45&lt;$V$2,7,IF(B45&lt;$W$2,8,IF(B45&lt;$X$2,9,IF(B45&lt;$Y$2,10,IF(B45&lt;$Z$2,11,IF(B45&lt;=$Z$3,12,0)))))))))))))</f>
        <v>0</v>
      </c>
      <c r="M45" s="135" t="s">
        <v>5</v>
      </c>
      <c r="O45" s="244"/>
      <c r="P45" s="244"/>
      <c r="Q45" s="244"/>
      <c r="R45" s="244"/>
      <c r="S45" s="244"/>
      <c r="T45" s="244"/>
      <c r="U45" s="244"/>
      <c r="V45" s="244"/>
      <c r="W45" s="244"/>
      <c r="X45" s="244"/>
      <c r="Y45" s="244"/>
      <c r="Z45" s="244"/>
      <c r="AA45" s="244"/>
      <c r="AB45" s="244"/>
    </row>
    <row r="46" spans="1:28" ht="13.35" customHeight="1" thickBot="1">
      <c r="A46" s="50" t="s">
        <v>5</v>
      </c>
      <c r="B46" s="141"/>
      <c r="C46" s="80"/>
      <c r="D46" s="93"/>
      <c r="E46" s="226"/>
      <c r="F46" s="89"/>
      <c r="G46" s="81"/>
      <c r="H46" s="82"/>
      <c r="I46" s="83" t="str">
        <f t="shared" si="7"/>
        <v/>
      </c>
      <c r="J46" s="361" t="str">
        <f t="shared" si="8"/>
        <v/>
      </c>
      <c r="K46" s="200">
        <v>45</v>
      </c>
      <c r="L46" s="133">
        <f t="shared" si="9"/>
        <v>0</v>
      </c>
      <c r="M46" s="135" t="s">
        <v>5</v>
      </c>
      <c r="O46" s="244"/>
      <c r="P46" s="244"/>
      <c r="Q46" s="244"/>
      <c r="R46" s="244"/>
      <c r="S46" s="244"/>
      <c r="T46" s="244"/>
      <c r="U46" s="244"/>
      <c r="V46" s="244"/>
      <c r="W46" s="244"/>
      <c r="X46" s="244"/>
      <c r="Y46" s="244"/>
      <c r="Z46" s="244"/>
      <c r="AA46" s="244"/>
      <c r="AB46" s="244"/>
    </row>
    <row r="47" spans="1:28" ht="12" customHeight="1" thickTop="1" thickBot="1">
      <c r="A47" s="391" t="s">
        <v>283</v>
      </c>
      <c r="B47" s="1244" t="str">
        <f>IF($A$48=0,"^ Zeile einfügen","bis hierher ziehen!")</f>
        <v>^ Zeile einfügen</v>
      </c>
      <c r="C47" s="1244"/>
      <c r="D47" s="392" t="s">
        <v>5</v>
      </c>
      <c r="E47" s="393" t="s">
        <v>5</v>
      </c>
      <c r="F47" s="394" t="s">
        <v>5</v>
      </c>
      <c r="G47" s="394"/>
      <c r="H47" s="395"/>
      <c r="I47" s="396"/>
      <c r="J47" s="425"/>
      <c r="K47" s="201">
        <v>0</v>
      </c>
      <c r="L47" s="185" t="s">
        <v>5</v>
      </c>
      <c r="M47" s="398" t="s">
        <v>283</v>
      </c>
    </row>
    <row r="48" spans="1:28" ht="12" customHeight="1" thickTop="1" thickBot="1">
      <c r="A48" s="390">
        <f>COUNTBLANK(A3:A47)+A49</f>
        <v>0</v>
      </c>
      <c r="B48" s="193" t="str">
        <f>+EÜR!C27</f>
        <v>ü</v>
      </c>
      <c r="C48" s="194" t="s">
        <v>5</v>
      </c>
      <c r="D48" s="194" t="s">
        <v>5</v>
      </c>
      <c r="E48" s="195" t="s">
        <v>5</v>
      </c>
      <c r="F48" s="196" t="s">
        <v>5</v>
      </c>
      <c r="G48" s="197">
        <f>SUBTOTAL(9,G3:G47)</f>
        <v>0</v>
      </c>
      <c r="H48" s="1242">
        <f>SUBTOTAL(9,I3:I47)</f>
        <v>0</v>
      </c>
      <c r="I48" s="1243">
        <f>SUBTOTAL(9,I3:I47)</f>
        <v>0</v>
      </c>
      <c r="J48" s="1293">
        <f>G48-H48</f>
        <v>0</v>
      </c>
      <c r="K48" s="1294"/>
      <c r="L48" s="1295"/>
      <c r="M48" s="135" t="s">
        <v>5</v>
      </c>
    </row>
    <row r="49" spans="1:14" ht="12" customHeight="1" thickTop="1" thickBot="1">
      <c r="A49" s="390">
        <f>IF(ISERROR(J47),1,0)</f>
        <v>0</v>
      </c>
      <c r="B49" s="192">
        <f>J48-G49-E49-C49</f>
        <v>0</v>
      </c>
      <c r="C49" s="1239">
        <f>SUMIF(F4:F47,"Kreditkarte",G4:G47)</f>
        <v>0</v>
      </c>
      <c r="D49" s="1239"/>
      <c r="E49" s="1240">
        <f>SUMIF(F4:F47,"Konto",G4:G47)</f>
        <v>0</v>
      </c>
      <c r="F49" s="1240"/>
      <c r="G49" s="1241">
        <f>SUMIF(F4:F47,"Geldbeutel",G4:G47)</f>
        <v>0</v>
      </c>
      <c r="H49" s="1241"/>
      <c r="I49" s="1241"/>
      <c r="J49" s="1296"/>
      <c r="K49" s="1297"/>
      <c r="L49" s="1298"/>
      <c r="M49" s="135" t="s">
        <v>5</v>
      </c>
    </row>
    <row r="50" spans="1:14" s="15" customFormat="1" ht="5.25" customHeight="1" thickTop="1">
      <c r="A50" s="36"/>
      <c r="B50" s="2"/>
      <c r="C50" s="3"/>
      <c r="D50" s="3"/>
      <c r="E50" s="1"/>
      <c r="G50" s="16"/>
      <c r="H50" s="16"/>
      <c r="I50" s="17"/>
      <c r="J50" s="18"/>
      <c r="K50" s="18"/>
      <c r="L50" s="31"/>
      <c r="N50" s="148"/>
    </row>
    <row r="51" spans="1:14">
      <c r="A51" s="36"/>
    </row>
  </sheetData>
  <sheetProtection formatCells="0" insertRows="0" deleteRows="0" selectLockedCells="1" sort="0" autoFilter="0"/>
  <sortState xmlns:xlrd2="http://schemas.microsoft.com/office/spreadsheetml/2017/richdata2" ref="B5:H15">
    <sortCondition ref="B4:B15"/>
  </sortState>
  <mergeCells count="15">
    <mergeCell ref="C2:I2"/>
    <mergeCell ref="J2:L2"/>
    <mergeCell ref="AA9:AB9"/>
    <mergeCell ref="O10:Z10"/>
    <mergeCell ref="O11:Z11"/>
    <mergeCell ref="AA13:AB13"/>
    <mergeCell ref="O14:Z14"/>
    <mergeCell ref="AA14:AB14"/>
    <mergeCell ref="AA4:AB4"/>
    <mergeCell ref="B47:C47"/>
    <mergeCell ref="H48:I48"/>
    <mergeCell ref="J48:L49"/>
    <mergeCell ref="C49:D49"/>
    <mergeCell ref="E49:F49"/>
    <mergeCell ref="G49:I49"/>
  </mergeCells>
  <conditionalFormatting sqref="A4:A46">
    <cfRule type="expression" dxfId="1202" priority="23">
      <formula>ISERROR(J4)</formula>
    </cfRule>
    <cfRule type="cellIs" dxfId="1201" priority="24" operator="equal">
      <formula>""</formula>
    </cfRule>
  </conditionalFormatting>
  <conditionalFormatting sqref="A47:C47">
    <cfRule type="expression" dxfId="1200" priority="8">
      <formula>$A$48&lt;&gt;0</formula>
    </cfRule>
  </conditionalFormatting>
  <conditionalFormatting sqref="B2">
    <cfRule type="expression" dxfId="1199" priority="50" stopIfTrue="1">
      <formula>$B$48="x"</formula>
    </cfRule>
  </conditionalFormatting>
  <conditionalFormatting sqref="B4:B46">
    <cfRule type="cellIs" dxfId="1196" priority="37" operator="equal">
      <formula>""</formula>
    </cfRule>
  </conditionalFormatting>
  <conditionalFormatting sqref="B48">
    <cfRule type="cellIs" dxfId="1195" priority="73" operator="equal">
      <formula>"y"</formula>
    </cfRule>
  </conditionalFormatting>
  <conditionalFormatting sqref="B3:J3">
    <cfRule type="expression" dxfId="1194" priority="10726">
      <formula>$B$48="x"</formula>
    </cfRule>
  </conditionalFormatting>
  <conditionalFormatting sqref="B4:J46">
    <cfRule type="expression" dxfId="1193" priority="33">
      <formula>$B$1="x"</formula>
    </cfRule>
  </conditionalFormatting>
  <conditionalFormatting sqref="B3:L3">
    <cfRule type="expression" dxfId="1192" priority="67">
      <formula>$B$48="x"</formula>
    </cfRule>
  </conditionalFormatting>
  <conditionalFormatting sqref="C4:D46">
    <cfRule type="expression" dxfId="1191" priority="40">
      <formula>AND($B4&lt;&gt;"",$C4="")</formula>
    </cfRule>
  </conditionalFormatting>
  <conditionalFormatting sqref="C49:I49">
    <cfRule type="cellIs" dxfId="1190" priority="72" stopIfTrue="1" operator="lessThan">
      <formula>0</formula>
    </cfRule>
    <cfRule type="cellIs" dxfId="1189" priority="70" stopIfTrue="1" operator="greaterThanOrEqual">
      <formula>0</formula>
    </cfRule>
  </conditionalFormatting>
  <conditionalFormatting sqref="D47:J47">
    <cfRule type="expression" dxfId="1188" priority="10">
      <formula>$A$48&lt;&gt;0</formula>
    </cfRule>
  </conditionalFormatting>
  <conditionalFormatting sqref="H4:H46">
    <cfRule type="expression" dxfId="1187" priority="36">
      <formula>AND(G4&lt;&gt;"",H4="",$I$1&lt;&gt;"x")</formula>
    </cfRule>
  </conditionalFormatting>
  <conditionalFormatting sqref="H4:I46">
    <cfRule type="expression" dxfId="1186" priority="34">
      <formula>AND($I4&lt;&gt;0,$I$1&lt;&gt;"ü")</formula>
    </cfRule>
    <cfRule type="expression" dxfId="1185" priority="35">
      <formula>$I$1&lt;&gt;"ü"</formula>
    </cfRule>
  </conditionalFormatting>
  <conditionalFormatting sqref="J48:L48 C49:L49 C48:H48">
    <cfRule type="expression" dxfId="1183" priority="69">
      <formula>$B$48="x"</formula>
    </cfRule>
  </conditionalFormatting>
  <conditionalFormatting sqref="J48:L49">
    <cfRule type="expression" dxfId="1182" priority="68">
      <formula>AND($B$48="x",$J$48&lt;&gt;0)</formula>
    </cfRule>
  </conditionalFormatting>
  <conditionalFormatting sqref="K4:L46">
    <cfRule type="expression" dxfId="1181" priority="17310">
      <formula>$B$48="x"</formula>
    </cfRule>
  </conditionalFormatting>
  <conditionalFormatting sqref="M3">
    <cfRule type="cellIs" dxfId="1180" priority="32" operator="equal">
      <formula>""</formula>
    </cfRule>
  </conditionalFormatting>
  <conditionalFormatting sqref="M4:M46">
    <cfRule type="expression" dxfId="1179" priority="30">
      <formula>ISERROR(J4)</formula>
    </cfRule>
    <cfRule type="cellIs" dxfId="1178" priority="31" operator="equal">
      <formula>""</formula>
    </cfRule>
  </conditionalFormatting>
  <conditionalFormatting sqref="M47">
    <cfRule type="expression" dxfId="1177" priority="9">
      <formula>$A$48&lt;&gt;0</formula>
    </cfRule>
  </conditionalFormatting>
  <conditionalFormatting sqref="M47:M49">
    <cfRule type="cellIs" dxfId="1176" priority="12" operator="equal">
      <formula>""</formula>
    </cfRule>
  </conditionalFormatting>
  <conditionalFormatting sqref="N10:AB10">
    <cfRule type="expression" dxfId="1175" priority="7">
      <formula>$N$2=0</formula>
    </cfRule>
  </conditionalFormatting>
  <conditionalFormatting sqref="O11:Z11">
    <cfRule type="cellIs" dxfId="1174" priority="54" operator="equal">
      <formula>"Fehler!"</formula>
    </cfRule>
  </conditionalFormatting>
  <conditionalFormatting sqref="O4:AA4">
    <cfRule type="expression" dxfId="1170" priority="49">
      <formula>$N$2=0</formula>
    </cfRule>
  </conditionalFormatting>
  <conditionalFormatting sqref="O2:AB3">
    <cfRule type="expression" dxfId="1168" priority="2">
      <formula>$N$2=0</formula>
    </cfRule>
  </conditionalFormatting>
  <conditionalFormatting sqref="O5:AB8 O9:AA9">
    <cfRule type="expression" dxfId="1167" priority="53">
      <formula>$N$2=0</formula>
    </cfRule>
  </conditionalFormatting>
  <conditionalFormatting sqref="O11:AB14">
    <cfRule type="expression" dxfId="1166" priority="1">
      <formula>$N$2=0</formula>
    </cfRule>
  </conditionalFormatting>
  <conditionalFormatting sqref="O47:AB49">
    <cfRule type="expression" dxfId="1165" priority="11">
      <formula>$N$2=0</formula>
    </cfRule>
  </conditionalFormatting>
  <dataValidations count="2">
    <dataValidation type="list" allowBlank="1" showInputMessage="1" showErrorMessage="1" sqref="F4:F46" xr:uid="{64B121A3-4703-42B0-801F-8F812EB991DD}">
      <formula1>"Konto,Geldbeutel,Kreditkarte,x"</formula1>
    </dataValidation>
    <dataValidation type="list" allowBlank="1" showInputMessage="1" showErrorMessage="1" sqref="H4:H46" xr:uid="{FE8F1AE1-AF56-4080-902D-18417814D832}">
      <formula1>"19,7,0,~"</formula1>
    </dataValidation>
  </dataValidations>
  <hyperlinks>
    <hyperlink ref="J2" location="'2022 EÜR'!A1" display="Menü" xr:uid="{83CEC37E-A387-4F9C-B68F-8964954DEF94}"/>
    <hyperlink ref="J2:L2" location="EÜR!A1" display="EÜR" xr:uid="{DD1A5441-6B86-4BB9-BC99-FCBA249182FC}"/>
  </hyperlinks>
  <printOptions horizontalCentered="1"/>
  <pageMargins left="0" right="0" top="0" bottom="0.31496062992125984" header="0" footer="0"/>
  <pageSetup paperSize="9" orientation="portrait" r:id="rId1"/>
  <headerFooter>
    <oddFooter>&amp;L&amp;"Arial,Standard"&amp;8Datei: &amp;Z&amp;F/&amp;A&amp;C&amp;"Arial,Standard"&amp;8Seite &amp;P von &amp;N&amp;R&amp;"Arial,Standard"&amp;8Druck: &amp;D&amp;T Uhr</oddFooter>
  </headerFooter>
  <extLst>
    <ext xmlns:x14="http://schemas.microsoft.com/office/spreadsheetml/2009/9/main" uri="{78C0D931-6437-407d-A8EE-F0AAD7539E65}">
      <x14:conditionalFormattings>
        <x14:conditionalFormatting xmlns:xm="http://schemas.microsoft.com/office/excel/2006/main">
          <x14:cfRule type="cellIs" priority="38" operator="greaterThan" id="{3CDCEAA0-3E3E-4409-A9C2-AECB83F95AAA}">
            <xm:f>EÜR!$I$78</xm:f>
            <x14:dxf>
              <font>
                <b/>
                <i val="0"/>
                <color rgb="FFFFFF00"/>
              </font>
              <fill>
                <patternFill>
                  <bgColor rgb="FFC00000"/>
                </patternFill>
              </fill>
            </x14:dxf>
          </x14:cfRule>
          <x14:cfRule type="cellIs" priority="39" operator="lessThan" id="{9216D8DB-4EC5-48E0-8ABE-8E9F668953C5}">
            <xm:f>EÜR!$I$77</xm:f>
            <x14:dxf>
              <font>
                <b/>
                <i val="0"/>
                <color rgb="FFFFFF00"/>
              </font>
              <fill>
                <patternFill>
                  <bgColor rgb="FFC00000"/>
                </patternFill>
              </fill>
            </x14:dxf>
          </x14:cfRule>
          <xm:sqref>B4:B46</xm:sqref>
        </x14:conditionalFormatting>
        <x14:conditionalFormatting xmlns:xm="http://schemas.microsoft.com/office/excel/2006/main">
          <x14:cfRule type="expression" priority="51" id="{3F195B47-FD4D-483A-BA2F-BC798F64A6DC}">
            <xm:f>AND(EÜR!$J$66&lt;&gt;"ü",$H$48&lt;&gt;0)</xm:f>
            <x14:dxf>
              <font>
                <b/>
                <i val="0"/>
                <color rgb="FFFFFF00"/>
              </font>
              <fill>
                <patternFill>
                  <bgColor rgb="FFFF0000"/>
                </patternFill>
              </fill>
            </x14:dxf>
          </x14:cfRule>
          <xm:sqref>H48:I48</xm:sqref>
        </x14:conditionalFormatting>
        <x14:conditionalFormatting xmlns:xm="http://schemas.microsoft.com/office/excel/2006/main">
          <x14:cfRule type="expression" priority="55" id="{A3386AA2-C03B-429F-9E8C-581277F7A7E0}">
            <xm:f>AND(O13&lt;&gt;0,U!L36="!",U!L37="!")</xm:f>
            <x14:dxf>
              <font>
                <b/>
                <i val="0"/>
                <color rgb="FFFF0000"/>
              </font>
              <fill>
                <patternFill>
                  <bgColor rgb="FFFFCCCC"/>
                </patternFill>
              </fill>
            </x14:dxf>
          </x14:cfRule>
          <x14:cfRule type="expression" priority="56" id="{BEB29ADC-DAFC-40F8-8E8A-3B9B7C262CB9}">
            <xm:f>U!L37&lt;&gt;"!"</xm:f>
            <x14:dxf>
              <font>
                <b/>
                <i val="0"/>
                <color rgb="FF006666"/>
              </font>
              <fill>
                <patternFill>
                  <bgColor theme="6" tint="0.39994506668294322"/>
                </patternFill>
              </fill>
            </x14:dxf>
          </x14:cfRule>
          <x14:cfRule type="expression" priority="57" id="{C3CFFC64-0E02-43D2-8799-1C676F74E14C}">
            <xm:f>U!L36&lt;&gt;"!"</xm:f>
            <x14:dxf>
              <font>
                <b/>
                <i val="0"/>
                <color theme="9" tint="-0.499984740745262"/>
              </font>
              <fill>
                <patternFill>
                  <bgColor rgb="FFFFFF99"/>
                </patternFill>
              </fill>
            </x14:dxf>
          </x14:cfRule>
          <xm:sqref>O13:Z13</xm:sqref>
        </x14:conditionalFormatting>
        <x14:conditionalFormatting xmlns:xm="http://schemas.microsoft.com/office/excel/2006/main">
          <x14:cfRule type="expression" priority="3" id="{D7A90345-8C65-449D-8B37-584A3329AD6F}">
            <xm:f>EÜR!$J$66="-"</xm:f>
            <x14:dxf>
              <font>
                <b/>
                <i val="0"/>
                <color theme="0"/>
              </font>
              <fill>
                <patternFill>
                  <bgColor theme="0"/>
                </patternFill>
              </fill>
              <border>
                <left/>
                <right/>
                <top/>
                <bottom/>
              </border>
            </x14:dxf>
          </x14:cfRule>
          <xm:sqref>O12:AA14</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D09912-700E-42E3-9625-D03FF6364A71}">
  <sheetPr codeName="Tabelle3">
    <tabColor theme="6" tint="0.39997558519241921"/>
    <pageSetUpPr autoPageBreaks="0"/>
  </sheetPr>
  <dimension ref="A1:AB51"/>
  <sheetViews>
    <sheetView showGridLines="0" showRowColHeaders="0" zoomScaleNormal="100" workbookViewId="0">
      <pane ySplit="3" topLeftCell="A4" activePane="bottomLeft" state="frozen"/>
      <selection activeCell="B47" sqref="B47:C47"/>
      <selection pane="bottomLeft" activeCell="A4" sqref="A4"/>
    </sheetView>
  </sheetViews>
  <sheetFormatPr baseColWidth="10" defaultColWidth="9.77734375" defaultRowHeight="12.75"/>
  <cols>
    <col min="1" max="1" width="0.77734375" style="12" customWidth="1"/>
    <col min="2" max="2" width="7.6640625" style="30" customWidth="1"/>
    <col min="3" max="3" width="21.6640625" style="24" customWidth="1"/>
    <col min="4" max="4" width="7.6640625" style="24" customWidth="1"/>
    <col min="5" max="5" width="6.6640625" style="25" customWidth="1"/>
    <col min="6" max="6" width="9.6640625" style="26" customWidth="1"/>
    <col min="7" max="7" width="9.6640625" style="27" customWidth="1"/>
    <col min="8" max="8" width="2.6640625" style="28" customWidth="1"/>
    <col min="9" max="9" width="6.6640625" style="29" customWidth="1"/>
    <col min="10" max="10" width="9.6640625" style="27" customWidth="1"/>
    <col min="11" max="11" width="2.5546875" style="27" hidden="1" customWidth="1"/>
    <col min="12" max="12" width="1.5546875" style="32" hidden="1" customWidth="1"/>
    <col min="13" max="13" width="0.77734375" style="38" customWidth="1"/>
    <col min="14" max="14" width="1.77734375" style="147" customWidth="1"/>
    <col min="15" max="26" width="8.77734375" style="13" customWidth="1"/>
    <col min="27" max="27" width="10.33203125" style="13" customWidth="1"/>
    <col min="28" max="28" width="8.33203125" style="13" customWidth="1"/>
    <col min="29" max="16384" width="9.77734375" style="13"/>
  </cols>
  <sheetData>
    <row r="1" spans="1:28" s="37" customFormat="1" ht="3" customHeight="1" thickBot="1">
      <c r="A1" s="36"/>
      <c r="B1" s="53" t="str">
        <f>+B48</f>
        <v>ü</v>
      </c>
      <c r="C1" s="54">
        <f>+C49</f>
        <v>0</v>
      </c>
      <c r="D1" s="54"/>
      <c r="E1" s="53">
        <f>+E49</f>
        <v>0</v>
      </c>
      <c r="F1" s="53"/>
      <c r="G1" s="54">
        <f>+G49</f>
        <v>0</v>
      </c>
      <c r="H1" s="53"/>
      <c r="I1" s="338" t="str">
        <f>+EÜR!J66</f>
        <v>-</v>
      </c>
      <c r="J1" s="54">
        <f>+J48</f>
        <v>0</v>
      </c>
      <c r="K1" s="198"/>
      <c r="L1" s="56"/>
      <c r="N1" s="190"/>
    </row>
    <row r="2" spans="1:28" ht="23.1" customHeight="1" thickTop="1" thickBot="1">
      <c r="A2" s="36"/>
      <c r="B2" s="294" t="str">
        <f>+EÜR!D8</f>
        <v>E01</v>
      </c>
      <c r="C2" s="1224" t="str">
        <f>+EÜR!F8</f>
        <v>Umsatzsteuerpflichtige Einnahmen</v>
      </c>
      <c r="D2" s="1225"/>
      <c r="E2" s="1225"/>
      <c r="F2" s="1225"/>
      <c r="G2" s="1225"/>
      <c r="H2" s="1225"/>
      <c r="I2" s="1226"/>
      <c r="J2" s="1227" t="s">
        <v>8</v>
      </c>
      <c r="K2" s="1228"/>
      <c r="L2" s="1229"/>
      <c r="M2" s="134"/>
      <c r="N2" s="190">
        <f>IF(OR(B48="x",N3=1),0,1)</f>
        <v>1</v>
      </c>
      <c r="O2" s="188">
        <f>+EOMONTH(EÜR!$I$3,-1)+1</f>
        <v>46023</v>
      </c>
      <c r="P2" s="188">
        <f t="shared" ref="P2:Z2" si="0">+O3+1</f>
        <v>46054</v>
      </c>
      <c r="Q2" s="188">
        <f t="shared" si="0"/>
        <v>46082</v>
      </c>
      <c r="R2" s="188">
        <f t="shared" si="0"/>
        <v>46113</v>
      </c>
      <c r="S2" s="188">
        <f t="shared" si="0"/>
        <v>46143</v>
      </c>
      <c r="T2" s="188">
        <f t="shared" si="0"/>
        <v>46174</v>
      </c>
      <c r="U2" s="188">
        <f t="shared" si="0"/>
        <v>46204</v>
      </c>
      <c r="V2" s="188">
        <f t="shared" si="0"/>
        <v>46235</v>
      </c>
      <c r="W2" s="188">
        <f t="shared" si="0"/>
        <v>46266</v>
      </c>
      <c r="X2" s="188">
        <f t="shared" si="0"/>
        <v>46296</v>
      </c>
      <c r="Y2" s="188">
        <f t="shared" si="0"/>
        <v>46327</v>
      </c>
      <c r="Z2" s="188">
        <f t="shared" si="0"/>
        <v>46357</v>
      </c>
      <c r="AA2" s="48"/>
    </row>
    <row r="3" spans="1:28" ht="14.25" customHeight="1" thickTop="1">
      <c r="A3" s="36" t="s">
        <v>5</v>
      </c>
      <c r="B3" s="58" t="s">
        <v>1</v>
      </c>
      <c r="C3" s="59" t="s">
        <v>6</v>
      </c>
      <c r="D3" s="60"/>
      <c r="E3" s="310" t="s">
        <v>7</v>
      </c>
      <c r="F3" s="61" t="s">
        <v>4</v>
      </c>
      <c r="G3" s="62" t="s">
        <v>31</v>
      </c>
      <c r="H3" s="63" t="s">
        <v>33</v>
      </c>
      <c r="I3" s="64" t="s">
        <v>32</v>
      </c>
      <c r="J3" s="360" t="s">
        <v>143</v>
      </c>
      <c r="K3" s="199">
        <v>0</v>
      </c>
      <c r="L3" s="65" t="s">
        <v>5</v>
      </c>
      <c r="M3" s="135" t="s">
        <v>5</v>
      </c>
      <c r="N3" s="222">
        <f>IF(SUBTOTAL(109,K3:K47)&lt;&gt;SUM(K3:K47),1,0)</f>
        <v>0</v>
      </c>
      <c r="O3" s="189">
        <f>EOMONTH(O2,0)</f>
        <v>46053</v>
      </c>
      <c r="P3" s="189">
        <f t="shared" ref="P3:Z3" si="1">EOMONTH(P2,0)</f>
        <v>46081</v>
      </c>
      <c r="Q3" s="189">
        <f t="shared" si="1"/>
        <v>46112</v>
      </c>
      <c r="R3" s="189">
        <f t="shared" si="1"/>
        <v>46142</v>
      </c>
      <c r="S3" s="189">
        <f t="shared" si="1"/>
        <v>46173</v>
      </c>
      <c r="T3" s="189">
        <f t="shared" si="1"/>
        <v>46203</v>
      </c>
      <c r="U3" s="189">
        <f t="shared" si="1"/>
        <v>46234</v>
      </c>
      <c r="V3" s="189">
        <f t="shared" si="1"/>
        <v>46265</v>
      </c>
      <c r="W3" s="189">
        <f t="shared" si="1"/>
        <v>46295</v>
      </c>
      <c r="X3" s="189">
        <f t="shared" si="1"/>
        <v>46326</v>
      </c>
      <c r="Y3" s="189">
        <f t="shared" si="1"/>
        <v>46356</v>
      </c>
      <c r="Z3" s="189">
        <f t="shared" si="1"/>
        <v>46387</v>
      </c>
      <c r="AB3" s="14"/>
    </row>
    <row r="4" spans="1:28" ht="13.35" customHeight="1">
      <c r="A4" s="50" t="s">
        <v>5</v>
      </c>
      <c r="B4" s="141"/>
      <c r="C4" s="80"/>
      <c r="D4" s="93"/>
      <c r="E4" s="969"/>
      <c r="F4" s="385"/>
      <c r="G4" s="81"/>
      <c r="H4" s="82"/>
      <c r="I4" s="83" t="str">
        <f>IF(G4&lt;&gt;"",+G4-G4/(1+H4/100),"")</f>
        <v/>
      </c>
      <c r="J4" s="282" t="str">
        <f t="shared" ref="J4:J22" si="2">IF(G4&lt;&gt;0,+G4-I4,"")</f>
        <v/>
      </c>
      <c r="K4" s="200">
        <v>1</v>
      </c>
      <c r="L4" s="133">
        <f>IF(B4&lt;$O$2,0,IF(B4&lt;$P$2,1,IF(B4&lt;$Q$2,2,IF(B4&lt;$R$2,3,IF(B4&lt;$S$2,4,IF(B4&lt;$T$2,5,IF(B4&lt;$U$2,6,IF(B4&lt;$V$2,7,IF(B4&lt;$W$2,8,IF(B4&lt;$X$2,9,IF(B4&lt;$Y$2,10,IF(B4&lt;$Z$2,11,IF(B4&lt;=$Z$3,12,0)))))))))))))</f>
        <v>0</v>
      </c>
      <c r="M4" s="135" t="s">
        <v>5</v>
      </c>
      <c r="N4" s="190">
        <f>+N10+AA12+AA16</f>
        <v>0</v>
      </c>
      <c r="O4" s="251" t="s">
        <v>36</v>
      </c>
      <c r="P4" s="251" t="s">
        <v>37</v>
      </c>
      <c r="Q4" s="251" t="s">
        <v>38</v>
      </c>
      <c r="R4" s="251" t="s">
        <v>39</v>
      </c>
      <c r="S4" s="251" t="s">
        <v>40</v>
      </c>
      <c r="T4" s="251" t="s">
        <v>41</v>
      </c>
      <c r="U4" s="251" t="s">
        <v>42</v>
      </c>
      <c r="V4" s="251" t="s">
        <v>43</v>
      </c>
      <c r="W4" s="251" t="s">
        <v>44</v>
      </c>
      <c r="X4" s="251" t="s">
        <v>45</v>
      </c>
      <c r="Y4" s="251" t="s">
        <v>46</v>
      </c>
      <c r="Z4" s="251" t="s">
        <v>47</v>
      </c>
      <c r="AA4" s="1209" t="s">
        <v>255</v>
      </c>
      <c r="AB4" s="1210"/>
    </row>
    <row r="5" spans="1:28" ht="13.35" customHeight="1">
      <c r="A5" s="50" t="s">
        <v>5</v>
      </c>
      <c r="B5" s="141"/>
      <c r="C5" s="80"/>
      <c r="D5" s="93"/>
      <c r="E5" s="969"/>
      <c r="F5" s="385"/>
      <c r="G5" s="81"/>
      <c r="H5" s="82"/>
      <c r="I5" s="83" t="str">
        <f t="shared" ref="I5:I22" si="3">IF(G5&lt;&gt;"",+G5-G5/(1+H5/100),"")</f>
        <v/>
      </c>
      <c r="J5" s="282" t="str">
        <f t="shared" si="2"/>
        <v/>
      </c>
      <c r="K5" s="200">
        <v>2</v>
      </c>
      <c r="L5" s="133">
        <f t="shared" ref="L5:L22" si="4">IF(B5&lt;$O$2,0,IF(B5&lt;$P$2,1,IF(B5&lt;$Q$2,2,IF(B5&lt;$R$2,3,IF(B5&lt;$S$2,4,IF(B5&lt;$T$2,5,IF(B5&lt;$U$2,6,IF(B5&lt;$V$2,7,IF(B5&lt;$W$2,8,IF(B5&lt;$X$2,9,IF(B5&lt;$Y$2,10,IF(B5&lt;$Z$2,11,IF(B5&lt;=$Z$3,12,0)))))))))))))</f>
        <v>0</v>
      </c>
      <c r="M5" s="135" t="s">
        <v>5</v>
      </c>
      <c r="O5" s="252">
        <f>SUMIFS($G$3:$G$47,$L$3:$L$47,1,$F$3:$F$47,"Konto")</f>
        <v>0</v>
      </c>
      <c r="P5" s="252">
        <f>SUMIFS($G$3:$G$47,$L$3:$L$47,2,$F$3:$F$47,"Konto")</f>
        <v>0</v>
      </c>
      <c r="Q5" s="252">
        <f>SUMIFS($G$3:$G$47,$L$3:$L$47,3,$F$3:$F$47,"Konto")</f>
        <v>0</v>
      </c>
      <c r="R5" s="252">
        <f>SUMIFS($G$3:$G$47,$L$3:$L$47,4,$F$3:$F$47,"Konto")</f>
        <v>0</v>
      </c>
      <c r="S5" s="252">
        <f>SUMIFS($G$3:$G$47,$L$3:$L$47,5,$F$3:$F$47,"Konto")</f>
        <v>0</v>
      </c>
      <c r="T5" s="252">
        <f>SUMIFS($G$3:$G$47,$L$3:$L$47,6,$F$3:$F$47,"Konto")</f>
        <v>0</v>
      </c>
      <c r="U5" s="252">
        <f>SUMIFS($G$3:$G$47,$L$3:$L$47,7,$F$3:$F$47,"Konto")</f>
        <v>0</v>
      </c>
      <c r="V5" s="252">
        <f>SUMIFS($G$3:$G$47,$L$3:$L$47,8,$F$3:$F$47,"Konto")</f>
        <v>0</v>
      </c>
      <c r="W5" s="252">
        <f>SUMIFS($G$3:$G$47,$L$3:$L$47,9,$F$3:$F$47,"Konto")</f>
        <v>0</v>
      </c>
      <c r="X5" s="252">
        <f>SUMIFS($G$3:$G$47,$L$3:$L$47,10,$F$3:$F$47,"Konto")</f>
        <v>0</v>
      </c>
      <c r="Y5" s="252">
        <f>SUMIFS($G$3:$G$47,$L$3:$L$47,11,$F$3:$F$47,"Konto")</f>
        <v>0</v>
      </c>
      <c r="Z5" s="252">
        <f>SUMIFS($G$3:$G$47,$L$3:$L$47,12,$F$3:$F$47,"Konto")</f>
        <v>0</v>
      </c>
      <c r="AA5" s="253">
        <f>SUM(O5:Z5)</f>
        <v>0</v>
      </c>
      <c r="AB5" s="254" t="s">
        <v>140</v>
      </c>
    </row>
    <row r="6" spans="1:28" ht="13.35" customHeight="1">
      <c r="A6" s="50" t="s">
        <v>5</v>
      </c>
      <c r="B6" s="141"/>
      <c r="C6" s="80"/>
      <c r="D6" s="93"/>
      <c r="E6" s="969"/>
      <c r="F6" s="385"/>
      <c r="G6" s="81"/>
      <c r="H6" s="82"/>
      <c r="I6" s="83" t="str">
        <f t="shared" si="3"/>
        <v/>
      </c>
      <c r="J6" s="282" t="str">
        <f t="shared" si="2"/>
        <v/>
      </c>
      <c r="K6" s="200">
        <v>3</v>
      </c>
      <c r="L6" s="133">
        <f t="shared" si="4"/>
        <v>0</v>
      </c>
      <c r="M6" s="135" t="s">
        <v>5</v>
      </c>
      <c r="N6" s="190"/>
      <c r="O6" s="252">
        <f>SUMIFS($G$3:$G$47,$L$3:$L$47,1,$F$3:$F$47,"Kreditkarte")</f>
        <v>0</v>
      </c>
      <c r="P6" s="252">
        <f>SUMIFS($G$3:$G$47,$L$3:$L$47,2,$F$3:$F$47,"Kreditkarte")</f>
        <v>0</v>
      </c>
      <c r="Q6" s="252">
        <f>SUMIFS($G$3:$G$47,$L$3:$L$47,3,$F$3:$F$47,"Kreditkarte")</f>
        <v>0</v>
      </c>
      <c r="R6" s="252">
        <f>SUMIFS($G$3:$G$47,$L$3:$L$47,4,$F$3:$F$47,"Kreditkarte")</f>
        <v>0</v>
      </c>
      <c r="S6" s="252">
        <f>SUMIFS($G$3:$G$47,$L$3:$L$47,5,$F$3:$F$47,"Kreditkarte")</f>
        <v>0</v>
      </c>
      <c r="T6" s="252">
        <f>SUMIFS($G$3:$G$47,$L$3:$L$47,6,$F$3:$F$47,"Kreditkarte")</f>
        <v>0</v>
      </c>
      <c r="U6" s="252">
        <f>SUMIFS($G$3:$G$47,$L$3:$L$47,7,$F$3:$F$47,"Kreditkarte")</f>
        <v>0</v>
      </c>
      <c r="V6" s="252">
        <f>SUMIFS($G$3:$G$47,$L$3:$L$47,8,$F$3:$F$47,"Kreditkarte")</f>
        <v>0</v>
      </c>
      <c r="W6" s="252">
        <f>SUMIFS($G$3:$G$47,$L$3:$L$47,9,$F$3:$F$47,"Kreditkarte")</f>
        <v>0</v>
      </c>
      <c r="X6" s="252">
        <f>SUMIFS($G$3:$G$47,$L$3:$L$47,10,$F$3:$F$47,"Kreditkarte")</f>
        <v>0</v>
      </c>
      <c r="Y6" s="252">
        <f>SUMIFS($G$3:$G$47,$L$3:$L$47,11,$F$3:$F$47,"Kreditkarte")</f>
        <v>0</v>
      </c>
      <c r="Z6" s="252">
        <f>SUMIFS($G$3:$G$47,$L$3:$L$47,12,$F$3:$F$47,"Kreditkarte")</f>
        <v>0</v>
      </c>
      <c r="AA6" s="255">
        <f t="shared" ref="AA6:AA8" si="5">SUM(O6:Z6)</f>
        <v>0</v>
      </c>
      <c r="AB6" s="256" t="s">
        <v>142</v>
      </c>
    </row>
    <row r="7" spans="1:28" ht="13.35" customHeight="1">
      <c r="A7" s="50" t="s">
        <v>5</v>
      </c>
      <c r="B7" s="141"/>
      <c r="C7" s="80"/>
      <c r="D7" s="93"/>
      <c r="E7" s="969"/>
      <c r="F7" s="385"/>
      <c r="G7" s="81"/>
      <c r="H7" s="82"/>
      <c r="I7" s="83" t="str">
        <f t="shared" si="3"/>
        <v/>
      </c>
      <c r="J7" s="282" t="str">
        <f t="shared" si="2"/>
        <v/>
      </c>
      <c r="K7" s="200">
        <v>4</v>
      </c>
      <c r="L7" s="133">
        <f t="shared" si="4"/>
        <v>0</v>
      </c>
      <c r="M7" s="135" t="s">
        <v>5</v>
      </c>
      <c r="O7" s="252">
        <f>SUMIFS($G$3:$G$47,$L$3:$L$47,1,$F$3:$F$47,"Geldbeutel")</f>
        <v>0</v>
      </c>
      <c r="P7" s="252">
        <f>SUMIFS($G$3:$G$47,$L$3:$L$47,2,$F$3:$F$47,"Geldbeutel")</f>
        <v>0</v>
      </c>
      <c r="Q7" s="252">
        <f>SUMIFS($G$3:$G$47,$L$3:$L$47,3,$F$3:$F$47,"Geldbeutel")</f>
        <v>0</v>
      </c>
      <c r="R7" s="252">
        <f>SUMIFS($G$3:$G$47,$L$3:$L$47,4,$F$3:$F$47,"Geldbeutel")</f>
        <v>0</v>
      </c>
      <c r="S7" s="252">
        <f>SUMIFS($G$3:$G$47,$L$3:$L$47,5,$F$3:$F$47,"Geldbeutel")</f>
        <v>0</v>
      </c>
      <c r="T7" s="252">
        <f>SUMIFS($G$3:$G$47,$L$3:$L$47,6,$F$3:$F$47,"Geldbeutel")</f>
        <v>0</v>
      </c>
      <c r="U7" s="252">
        <f>SUMIFS($G$3:$G$47,$L$3:$L$47,7,$F$3:$F$47,"Geldbeutel")</f>
        <v>0</v>
      </c>
      <c r="V7" s="252">
        <f>SUMIFS($G$3:$G$47,$L$3:$L$47,8,$F$3:$F$47,"Geldbeutel")</f>
        <v>0</v>
      </c>
      <c r="W7" s="252">
        <f>SUMIFS($G$3:$G$47,$L$3:$L$47,9,$F$3:$F$47,"Geldbeutel")</f>
        <v>0</v>
      </c>
      <c r="X7" s="252">
        <f>SUMIFS($G$3:$G$47,$L$3:$L$47,10,$F$3:$F$47,"Geldbeutel")</f>
        <v>0</v>
      </c>
      <c r="Y7" s="252">
        <f>SUMIFS($G$3:$G$47,$L$3:$L$47,11,$F$3:$F$47,"Geldbeutel")</f>
        <v>0</v>
      </c>
      <c r="Z7" s="252">
        <f>SUMIFS($G$3:$G$47,$L$3:$L$47,12,$F$3:$F$47,"Geldbeutel")</f>
        <v>0</v>
      </c>
      <c r="AA7" s="253">
        <f t="shared" si="5"/>
        <v>0</v>
      </c>
      <c r="AB7" s="254" t="s">
        <v>139</v>
      </c>
    </row>
    <row r="8" spans="1:28" ht="13.35" customHeight="1">
      <c r="A8" s="50" t="s">
        <v>5</v>
      </c>
      <c r="B8" s="141"/>
      <c r="C8" s="80"/>
      <c r="D8" s="93"/>
      <c r="E8" s="969"/>
      <c r="F8" s="385"/>
      <c r="G8" s="81"/>
      <c r="H8" s="82"/>
      <c r="I8" s="83" t="str">
        <f>IF(G8&lt;&gt;"",+G8-G8/(1+H8/100),"")</f>
        <v/>
      </c>
      <c r="J8" s="282" t="str">
        <f t="shared" si="2"/>
        <v/>
      </c>
      <c r="K8" s="200">
        <v>5</v>
      </c>
      <c r="L8" s="133">
        <f t="shared" si="4"/>
        <v>0</v>
      </c>
      <c r="M8" s="135" t="s">
        <v>5</v>
      </c>
      <c r="O8" s="252">
        <f>SUMIFS($G$3:$G$47,$L$3:$L$47,1,$F$3:$F$47,"X")</f>
        <v>0</v>
      </c>
      <c r="P8" s="252">
        <f>SUMIFS($G$3:$G$47,$L$3:$L$47,2,$F$3:$F$47,"X")</f>
        <v>0</v>
      </c>
      <c r="Q8" s="252">
        <f>SUMIFS($G$3:$G$47,$L$3:$L$47,3,$F$3:$F$47,"X")</f>
        <v>0</v>
      </c>
      <c r="R8" s="252">
        <f>SUMIFS($G$3:$G$47,$L$3:$L$47,4,$F$3:$F$47,"X")</f>
        <v>0</v>
      </c>
      <c r="S8" s="252">
        <f>SUMIFS($G$3:$G$47,$L$3:$L$47,5,$F$3:$F$47,"X")</f>
        <v>0</v>
      </c>
      <c r="T8" s="252">
        <f>SUMIFS($G$3:$G$47,$L$3:$L$47,6,$F$3:$F$47,"X")</f>
        <v>0</v>
      </c>
      <c r="U8" s="252">
        <f>SUMIFS($G$3:$G$47,$L$3:$L$47,7,$F$3:$F$47,"X")</f>
        <v>0</v>
      </c>
      <c r="V8" s="252">
        <f>SUMIFS($G$3:$G$47,$L$3:$L$47,8,$F$3:$F$47,"X")</f>
        <v>0</v>
      </c>
      <c r="W8" s="252">
        <f>SUMIFS($G$3:$G$47,$L$3:$L$47,9,$F$3:$F$47,"X")</f>
        <v>0</v>
      </c>
      <c r="X8" s="252">
        <f>SUMIFS($G$3:$G$47,$L$3:$L$47,10,$F$3:$F$47,"X")</f>
        <v>0</v>
      </c>
      <c r="Y8" s="252">
        <f>SUMIFS($G$3:$G$47,$L$3:$L$47,11,$F$3:$F$47,"X")</f>
        <v>0</v>
      </c>
      <c r="Z8" s="252">
        <f>SUMIFS($G$3:$G$47,$L$3:$L$47,12,$F$3:$F$47,"X")</f>
        <v>0</v>
      </c>
      <c r="AA8" s="255">
        <f t="shared" si="5"/>
        <v>0</v>
      </c>
      <c r="AB8" s="256" t="s">
        <v>192</v>
      </c>
    </row>
    <row r="9" spans="1:28" ht="13.35" customHeight="1">
      <c r="A9" s="50" t="s">
        <v>5</v>
      </c>
      <c r="B9" s="141"/>
      <c r="C9" s="80"/>
      <c r="D9" s="93"/>
      <c r="E9" s="969"/>
      <c r="F9" s="385"/>
      <c r="G9" s="81"/>
      <c r="H9" s="82"/>
      <c r="I9" s="83" t="str">
        <f t="shared" si="3"/>
        <v/>
      </c>
      <c r="J9" s="282" t="str">
        <f t="shared" si="2"/>
        <v/>
      </c>
      <c r="K9" s="200">
        <v>6</v>
      </c>
      <c r="L9" s="133">
        <f t="shared" si="4"/>
        <v>0</v>
      </c>
      <c r="M9" s="135" t="s">
        <v>5</v>
      </c>
      <c r="N9" s="191">
        <f>IF(OR(AND(AA14&lt;&gt;0,B48="x"),(O14+AA13)&lt;&gt;H48),1,0)</f>
        <v>0</v>
      </c>
      <c r="O9" s="257">
        <f>SUM(O5:O8)</f>
        <v>0</v>
      </c>
      <c r="P9" s="257">
        <f t="shared" ref="P9:Z9" si="6">SUM(P5:P8)</f>
        <v>0</v>
      </c>
      <c r="Q9" s="257">
        <f t="shared" si="6"/>
        <v>0</v>
      </c>
      <c r="R9" s="257">
        <f t="shared" si="6"/>
        <v>0</v>
      </c>
      <c r="S9" s="257">
        <f t="shared" si="6"/>
        <v>0</v>
      </c>
      <c r="T9" s="257">
        <f t="shared" si="6"/>
        <v>0</v>
      </c>
      <c r="U9" s="257">
        <f t="shared" si="6"/>
        <v>0</v>
      </c>
      <c r="V9" s="257">
        <f t="shared" si="6"/>
        <v>0</v>
      </c>
      <c r="W9" s="257">
        <f t="shared" si="6"/>
        <v>0</v>
      </c>
      <c r="X9" s="257">
        <f t="shared" si="6"/>
        <v>0</v>
      </c>
      <c r="Y9" s="257">
        <f t="shared" si="6"/>
        <v>0</v>
      </c>
      <c r="Z9" s="257">
        <f t="shared" si="6"/>
        <v>0</v>
      </c>
      <c r="AA9" s="1211" t="s">
        <v>197</v>
      </c>
      <c r="AB9" s="1212"/>
    </row>
    <row r="10" spans="1:28" ht="13.35" customHeight="1">
      <c r="A10" s="50" t="s">
        <v>5</v>
      </c>
      <c r="B10" s="141"/>
      <c r="C10" s="80"/>
      <c r="D10" s="93"/>
      <c r="E10" s="969"/>
      <c r="F10" s="385"/>
      <c r="G10" s="81"/>
      <c r="H10" s="82"/>
      <c r="I10" s="83" t="str">
        <f t="shared" si="3"/>
        <v/>
      </c>
      <c r="J10" s="282" t="str">
        <f t="shared" si="2"/>
        <v/>
      </c>
      <c r="K10" s="200">
        <v>7</v>
      </c>
      <c r="L10" s="133">
        <f t="shared" si="4"/>
        <v>0</v>
      </c>
      <c r="M10" s="135" t="s">
        <v>5</v>
      </c>
      <c r="N10" s="259">
        <f>IF(O10+AA10&lt;&gt;G48,1,0)</f>
        <v>0</v>
      </c>
      <c r="O10" s="1230">
        <f>SUM(O5:Z8)</f>
        <v>0</v>
      </c>
      <c r="P10" s="1231"/>
      <c r="Q10" s="1231"/>
      <c r="R10" s="1231"/>
      <c r="S10" s="1231"/>
      <c r="T10" s="1231"/>
      <c r="U10" s="1231"/>
      <c r="V10" s="1231"/>
      <c r="W10" s="1231"/>
      <c r="X10" s="1231"/>
      <c r="Y10" s="1231"/>
      <c r="Z10" s="1232"/>
      <c r="AA10" s="292">
        <f>+G48-AA7-AA6-AA5-AA8</f>
        <v>0</v>
      </c>
      <c r="AB10" s="293" t="s">
        <v>205</v>
      </c>
    </row>
    <row r="11" spans="1:28" ht="13.35" customHeight="1">
      <c r="A11" s="50" t="s">
        <v>5</v>
      </c>
      <c r="B11" s="141"/>
      <c r="C11" s="80"/>
      <c r="D11" s="93"/>
      <c r="E11" s="969"/>
      <c r="F11" s="385"/>
      <c r="G11" s="81"/>
      <c r="H11" s="82"/>
      <c r="I11" s="83" t="str">
        <f t="shared" si="3"/>
        <v/>
      </c>
      <c r="J11" s="282" t="str">
        <f t="shared" si="2"/>
        <v/>
      </c>
      <c r="K11" s="200">
        <v>8</v>
      </c>
      <c r="L11" s="133">
        <f t="shared" si="4"/>
        <v>0</v>
      </c>
      <c r="M11" s="135" t="s">
        <v>5</v>
      </c>
      <c r="O11" s="1219" t="str">
        <f>IF(N4&gt;0,"Fehler!","")</f>
        <v/>
      </c>
      <c r="P11" s="1219"/>
      <c r="Q11" s="1219"/>
      <c r="R11" s="1219"/>
      <c r="S11" s="1219"/>
      <c r="T11" s="1219"/>
      <c r="U11" s="1219"/>
      <c r="V11" s="1219"/>
      <c r="W11" s="1219"/>
      <c r="X11" s="1219"/>
      <c r="Y11" s="1219"/>
      <c r="Z11" s="1219"/>
    </row>
    <row r="12" spans="1:28" ht="13.35" customHeight="1">
      <c r="A12" s="50" t="s">
        <v>5</v>
      </c>
      <c r="B12" s="141"/>
      <c r="C12" s="80"/>
      <c r="D12" s="93"/>
      <c r="E12" s="969"/>
      <c r="F12" s="385"/>
      <c r="G12" s="81"/>
      <c r="H12" s="82"/>
      <c r="I12" s="83" t="str">
        <f t="shared" si="3"/>
        <v/>
      </c>
      <c r="J12" s="282" t="str">
        <f t="shared" si="2"/>
        <v/>
      </c>
      <c r="K12" s="200">
        <v>9</v>
      </c>
      <c r="L12" s="133">
        <f t="shared" si="4"/>
        <v>0</v>
      </c>
      <c r="M12" s="135" t="s">
        <v>5</v>
      </c>
      <c r="O12" s="203" t="s">
        <v>36</v>
      </c>
      <c r="P12" s="203" t="s">
        <v>37</v>
      </c>
      <c r="Q12" s="203" t="s">
        <v>38</v>
      </c>
      <c r="R12" s="203" t="s">
        <v>39</v>
      </c>
      <c r="S12" s="203" t="s">
        <v>40</v>
      </c>
      <c r="T12" s="203" t="s">
        <v>41</v>
      </c>
      <c r="U12" s="203" t="s">
        <v>42</v>
      </c>
      <c r="V12" s="203" t="s">
        <v>43</v>
      </c>
      <c r="W12" s="203" t="s">
        <v>44</v>
      </c>
      <c r="X12" s="203" t="s">
        <v>45</v>
      </c>
      <c r="Y12" s="203" t="s">
        <v>46</v>
      </c>
      <c r="Z12" s="203" t="s">
        <v>47</v>
      </c>
      <c r="AA12" s="221">
        <f>IF(O14+AA13&lt;&gt;H48,1,0)</f>
        <v>0</v>
      </c>
    </row>
    <row r="13" spans="1:28" ht="13.35" customHeight="1">
      <c r="A13" s="50" t="s">
        <v>5</v>
      </c>
      <c r="B13" s="141"/>
      <c r="C13" s="80"/>
      <c r="D13" s="93"/>
      <c r="E13" s="969"/>
      <c r="F13" s="385"/>
      <c r="G13" s="81"/>
      <c r="H13" s="82"/>
      <c r="I13" s="83" t="str">
        <f t="shared" si="3"/>
        <v/>
      </c>
      <c r="J13" s="282" t="str">
        <f t="shared" si="2"/>
        <v/>
      </c>
      <c r="K13" s="200">
        <v>10</v>
      </c>
      <c r="L13" s="133">
        <f t="shared" si="4"/>
        <v>0</v>
      </c>
      <c r="M13" s="135" t="s">
        <v>5</v>
      </c>
      <c r="O13" s="187">
        <f>SUMIF($L$3:$L$47,1,$I$3:$I$47)</f>
        <v>0</v>
      </c>
      <c r="P13" s="187">
        <f>SUMIF($L$3:$L$47,2,$I$3:$I$47)</f>
        <v>0</v>
      </c>
      <c r="Q13" s="187">
        <f>SUMIF($L$3:$L$47,3,$I$3:$I$47)</f>
        <v>0</v>
      </c>
      <c r="R13" s="187">
        <f>SUMIF($L$3:$L$47,4,$I$3:$I$47)</f>
        <v>0</v>
      </c>
      <c r="S13" s="187">
        <f>SUMIF($L$3:$L$47,5,$I$3:$I$47)</f>
        <v>0</v>
      </c>
      <c r="T13" s="187">
        <f>SUMIF($L$3:$L$47,6,$I$3:$I$47)</f>
        <v>0</v>
      </c>
      <c r="U13" s="187">
        <f>SUMIF($L$3:$L$47,7,$I$3:$I$47)</f>
        <v>0</v>
      </c>
      <c r="V13" s="187">
        <f>SUMIF($L$3:$L$47,8,$I$3:$I$47)</f>
        <v>0</v>
      </c>
      <c r="W13" s="187">
        <f>SUMIF($L$3:$L$47,9,$I$3:$I$47)</f>
        <v>0</v>
      </c>
      <c r="X13" s="187">
        <f>SUMIF($L$3:$L$47,10,$I$3:$I$47)</f>
        <v>0</v>
      </c>
      <c r="Y13" s="187">
        <f>SUMIF($L$3:$L$47,11,$I$3:$I$47)</f>
        <v>0</v>
      </c>
      <c r="Z13" s="187">
        <f>SUMIF($L$3:$L$47,12,$I$3:$I$47)</f>
        <v>0</v>
      </c>
      <c r="AA13" s="1220">
        <f>SUMIF($L$3:$L$47,0,$I$3:$I$47)</f>
        <v>0</v>
      </c>
      <c r="AB13" s="1221"/>
    </row>
    <row r="14" spans="1:28" ht="13.35" customHeight="1">
      <c r="A14" s="50" t="s">
        <v>5</v>
      </c>
      <c r="B14" s="141"/>
      <c r="C14" s="80"/>
      <c r="D14" s="93"/>
      <c r="E14" s="969"/>
      <c r="F14" s="385"/>
      <c r="G14" s="81"/>
      <c r="H14" s="82"/>
      <c r="I14" s="83" t="str">
        <f t="shared" si="3"/>
        <v/>
      </c>
      <c r="J14" s="282" t="str">
        <f t="shared" si="2"/>
        <v/>
      </c>
      <c r="K14" s="200">
        <v>11</v>
      </c>
      <c r="L14" s="133">
        <f t="shared" si="4"/>
        <v>0</v>
      </c>
      <c r="M14" s="135" t="s">
        <v>5</v>
      </c>
      <c r="O14" s="1213">
        <f>SUM(O13:Z13)</f>
        <v>0</v>
      </c>
      <c r="P14" s="1214"/>
      <c r="Q14" s="1214"/>
      <c r="R14" s="1214"/>
      <c r="S14" s="1214"/>
      <c r="T14" s="1214"/>
      <c r="U14" s="1214"/>
      <c r="V14" s="1214"/>
      <c r="W14" s="1214"/>
      <c r="X14" s="1214"/>
      <c r="Y14" s="1214"/>
      <c r="Z14" s="1215"/>
      <c r="AA14" s="1222">
        <f>SUM(O13:Z13)+AA13</f>
        <v>0</v>
      </c>
      <c r="AB14" s="1223"/>
    </row>
    <row r="15" spans="1:28" ht="13.35" customHeight="1">
      <c r="A15" s="50" t="s">
        <v>5</v>
      </c>
      <c r="B15" s="141"/>
      <c r="C15" s="80"/>
      <c r="D15" s="93"/>
      <c r="E15" s="969"/>
      <c r="F15" s="385"/>
      <c r="G15" s="81"/>
      <c r="H15" s="82"/>
      <c r="I15" s="83" t="str">
        <f t="shared" si="3"/>
        <v/>
      </c>
      <c r="J15" s="282" t="str">
        <f t="shared" si="2"/>
        <v/>
      </c>
      <c r="K15" s="200">
        <v>12</v>
      </c>
      <c r="L15" s="133">
        <f t="shared" si="4"/>
        <v>0</v>
      </c>
      <c r="M15" s="135" t="s">
        <v>5</v>
      </c>
    </row>
    <row r="16" spans="1:28" ht="13.35" customHeight="1">
      <c r="A16" s="50" t="s">
        <v>5</v>
      </c>
      <c r="B16" s="141"/>
      <c r="C16" s="80"/>
      <c r="D16" s="93"/>
      <c r="E16" s="969"/>
      <c r="F16" s="385"/>
      <c r="G16" s="81"/>
      <c r="H16" s="82"/>
      <c r="I16" s="83" t="str">
        <f t="shared" si="3"/>
        <v/>
      </c>
      <c r="J16" s="282" t="str">
        <f t="shared" si="2"/>
        <v/>
      </c>
      <c r="K16" s="200">
        <v>13</v>
      </c>
      <c r="L16" s="133">
        <f t="shared" si="4"/>
        <v>0</v>
      </c>
      <c r="M16" s="135" t="s">
        <v>5</v>
      </c>
      <c r="O16" s="204" t="s">
        <v>36</v>
      </c>
      <c r="P16" s="204" t="s">
        <v>37</v>
      </c>
      <c r="Q16" s="204" t="s">
        <v>38</v>
      </c>
      <c r="R16" s="204" t="s">
        <v>39</v>
      </c>
      <c r="S16" s="204" t="s">
        <v>40</v>
      </c>
      <c r="T16" s="204" t="s">
        <v>41</v>
      </c>
      <c r="U16" s="204" t="s">
        <v>42</v>
      </c>
      <c r="V16" s="204" t="s">
        <v>43</v>
      </c>
      <c r="W16" s="204" t="s">
        <v>44</v>
      </c>
      <c r="X16" s="204" t="s">
        <v>45</v>
      </c>
      <c r="Y16" s="204" t="s">
        <v>46</v>
      </c>
      <c r="Z16" s="204" t="s">
        <v>47</v>
      </c>
      <c r="AA16" s="220">
        <f>IF(O18+AA17&lt;&gt;J48,1,0)</f>
        <v>0</v>
      </c>
    </row>
    <row r="17" spans="1:28" ht="13.35" customHeight="1" thickBot="1">
      <c r="A17" s="50" t="s">
        <v>5</v>
      </c>
      <c r="B17" s="141"/>
      <c r="C17" s="80"/>
      <c r="D17" s="93"/>
      <c r="E17" s="969"/>
      <c r="F17" s="385"/>
      <c r="G17" s="81"/>
      <c r="H17" s="82"/>
      <c r="I17" s="83" t="str">
        <f t="shared" si="3"/>
        <v/>
      </c>
      <c r="J17" s="282" t="str">
        <f t="shared" si="2"/>
        <v/>
      </c>
      <c r="K17" s="200">
        <v>14</v>
      </c>
      <c r="L17" s="133">
        <f t="shared" si="4"/>
        <v>0</v>
      </c>
      <c r="M17" s="135" t="s">
        <v>5</v>
      </c>
      <c r="O17" s="202">
        <f>SUMIF($L$3:$L$47,1,$J$3:$J$47)</f>
        <v>0</v>
      </c>
      <c r="P17" s="202">
        <f>SUMIF($L$3:$L$47,2,$J$3:$J$47)</f>
        <v>0</v>
      </c>
      <c r="Q17" s="202">
        <f>SUMIF($L$3:$L$47,3,$J$3:$J$47)</f>
        <v>0</v>
      </c>
      <c r="R17" s="202">
        <f>SUMIF($L$3:$L$47,4,$J$3:$J$47)</f>
        <v>0</v>
      </c>
      <c r="S17" s="202">
        <f>SUMIF($L$3:$L$47,5,$J$3:$J$47)</f>
        <v>0</v>
      </c>
      <c r="T17" s="202">
        <f>SUMIF($L$3:$L$47,6,$J$3:$J$47)</f>
        <v>0</v>
      </c>
      <c r="U17" s="202">
        <f>SUMIF($L$3:$L$47,7,$J$3:$J$47)</f>
        <v>0</v>
      </c>
      <c r="V17" s="202">
        <f>SUMIF($L$3:$L$47,8,$J$3:$J$47)</f>
        <v>0</v>
      </c>
      <c r="W17" s="202">
        <f>SUMIF($L$3:$L$47,9,$J$3:$J$47)</f>
        <v>0</v>
      </c>
      <c r="X17" s="202">
        <f>SUMIF($L$3:$L$47,10,$J$3:$J$47)</f>
        <v>0</v>
      </c>
      <c r="Y17" s="202">
        <f>SUMIF($L$3:$L$47,11,$J$3:$J$47)</f>
        <v>0</v>
      </c>
      <c r="Z17" s="202">
        <f>SUMIF($L$3:$L$47,12,$J$3:$J$47)</f>
        <v>0</v>
      </c>
      <c r="AA17" s="1220">
        <f>SUMIF($L$3:$L$47,0,$J$3:$J$47)</f>
        <v>0</v>
      </c>
      <c r="AB17" s="1221"/>
    </row>
    <row r="18" spans="1:28" ht="13.35" customHeight="1">
      <c r="A18" s="50" t="s">
        <v>5</v>
      </c>
      <c r="B18" s="141"/>
      <c r="C18" s="80"/>
      <c r="D18" s="93"/>
      <c r="E18" s="969"/>
      <c r="F18" s="385"/>
      <c r="G18" s="81"/>
      <c r="H18" s="82"/>
      <c r="I18" s="83" t="str">
        <f t="shared" si="3"/>
        <v/>
      </c>
      <c r="J18" s="282" t="str">
        <f t="shared" si="2"/>
        <v/>
      </c>
      <c r="K18" s="200">
        <v>15</v>
      </c>
      <c r="L18" s="133">
        <f t="shared" si="4"/>
        <v>0</v>
      </c>
      <c r="M18" s="135" t="s">
        <v>5</v>
      </c>
      <c r="O18" s="1216">
        <f>SUM(O17:Z17)</f>
        <v>0</v>
      </c>
      <c r="P18" s="1217"/>
      <c r="Q18" s="1217"/>
      <c r="R18" s="1217"/>
      <c r="S18" s="1217"/>
      <c r="T18" s="1217"/>
      <c r="U18" s="1217"/>
      <c r="V18" s="1217"/>
      <c r="W18" s="1217"/>
      <c r="X18" s="1217"/>
      <c r="Y18" s="1217"/>
      <c r="Z18" s="1218"/>
      <c r="AA18" s="1222">
        <f>SUM(O17:Z17)+AA17</f>
        <v>0</v>
      </c>
      <c r="AB18" s="1223"/>
    </row>
    <row r="19" spans="1:28" ht="13.35" customHeight="1">
      <c r="A19" s="50" t="s">
        <v>5</v>
      </c>
      <c r="B19" s="141"/>
      <c r="C19" s="80"/>
      <c r="D19" s="93"/>
      <c r="E19" s="969"/>
      <c r="F19" s="385"/>
      <c r="G19" s="81"/>
      <c r="H19" s="82"/>
      <c r="I19" s="83" t="str">
        <f t="shared" si="3"/>
        <v/>
      </c>
      <c r="J19" s="282" t="str">
        <f t="shared" si="2"/>
        <v/>
      </c>
      <c r="K19" s="200">
        <v>16</v>
      </c>
      <c r="L19" s="133">
        <f t="shared" si="4"/>
        <v>0</v>
      </c>
      <c r="M19" s="135" t="s">
        <v>5</v>
      </c>
    </row>
    <row r="20" spans="1:28" ht="13.35" customHeight="1">
      <c r="A20" s="50" t="s">
        <v>5</v>
      </c>
      <c r="B20" s="141"/>
      <c r="C20" s="80"/>
      <c r="D20" s="93"/>
      <c r="E20" s="969"/>
      <c r="F20" s="385"/>
      <c r="G20" s="81"/>
      <c r="H20" s="82"/>
      <c r="I20" s="83" t="str">
        <f t="shared" si="3"/>
        <v/>
      </c>
      <c r="J20" s="282" t="str">
        <f t="shared" si="2"/>
        <v/>
      </c>
      <c r="K20" s="200">
        <v>17</v>
      </c>
      <c r="L20" s="133">
        <f t="shared" si="4"/>
        <v>0</v>
      </c>
      <c r="M20" s="135" t="s">
        <v>5</v>
      </c>
    </row>
    <row r="21" spans="1:28" ht="13.35" customHeight="1">
      <c r="A21" s="50" t="s">
        <v>5</v>
      </c>
      <c r="B21" s="141"/>
      <c r="C21" s="80"/>
      <c r="D21" s="93"/>
      <c r="E21" s="969"/>
      <c r="F21" s="385"/>
      <c r="G21" s="81"/>
      <c r="H21" s="82"/>
      <c r="I21" s="83" t="str">
        <f t="shared" si="3"/>
        <v/>
      </c>
      <c r="J21" s="282" t="str">
        <f t="shared" si="2"/>
        <v/>
      </c>
      <c r="K21" s="200">
        <v>18</v>
      </c>
      <c r="L21" s="133">
        <f t="shared" si="4"/>
        <v>0</v>
      </c>
      <c r="M21" s="135" t="s">
        <v>5</v>
      </c>
    </row>
    <row r="22" spans="1:28" ht="13.35" customHeight="1">
      <c r="A22" s="50" t="s">
        <v>5</v>
      </c>
      <c r="B22" s="141"/>
      <c r="C22" s="80"/>
      <c r="D22" s="93"/>
      <c r="E22" s="969"/>
      <c r="F22" s="385"/>
      <c r="G22" s="81"/>
      <c r="H22" s="82"/>
      <c r="I22" s="83" t="str">
        <f t="shared" si="3"/>
        <v/>
      </c>
      <c r="J22" s="282" t="str">
        <f t="shared" si="2"/>
        <v/>
      </c>
      <c r="K22" s="200">
        <v>19</v>
      </c>
      <c r="L22" s="133">
        <f t="shared" si="4"/>
        <v>0</v>
      </c>
      <c r="M22" s="135" t="s">
        <v>5</v>
      </c>
    </row>
    <row r="23" spans="1:28" ht="13.35" customHeight="1">
      <c r="A23" s="50" t="s">
        <v>5</v>
      </c>
      <c r="B23" s="141"/>
      <c r="C23" s="80"/>
      <c r="D23" s="93"/>
      <c r="E23" s="969"/>
      <c r="F23" s="385"/>
      <c r="G23" s="81"/>
      <c r="H23" s="82"/>
      <c r="I23" s="83" t="str">
        <f t="shared" ref="I23:I46" si="7">IF(G23&lt;&gt;"",+G23-G23/(1+H23/100),"")</f>
        <v/>
      </c>
      <c r="J23" s="282" t="str">
        <f t="shared" ref="J23:J46" si="8">IF(G23&lt;&gt;0,+G23-I23,"")</f>
        <v/>
      </c>
      <c r="K23" s="200">
        <v>22</v>
      </c>
      <c r="L23" s="133">
        <f t="shared" ref="L23:L46" si="9">IF(B23&lt;$O$2,0,IF(B23&lt;$P$2,1,IF(B23&lt;$Q$2,2,IF(B23&lt;$R$2,3,IF(B23&lt;$S$2,4,IF(B23&lt;$T$2,5,IF(B23&lt;$U$2,6,IF(B23&lt;$V$2,7,IF(B23&lt;$W$2,8,IF(B23&lt;$X$2,9,IF(B23&lt;$Y$2,10,IF(B23&lt;$Z$2,11,IF(B23&lt;=$Z$3,12,0)))))))))))))</f>
        <v>0</v>
      </c>
      <c r="M23" s="135" t="s">
        <v>5</v>
      </c>
    </row>
    <row r="24" spans="1:28" ht="13.35" customHeight="1">
      <c r="A24" s="50" t="s">
        <v>5</v>
      </c>
      <c r="B24" s="141"/>
      <c r="C24" s="80"/>
      <c r="D24" s="93"/>
      <c r="E24" s="969"/>
      <c r="F24" s="385"/>
      <c r="G24" s="81"/>
      <c r="H24" s="82"/>
      <c r="I24" s="83" t="str">
        <f t="shared" si="7"/>
        <v/>
      </c>
      <c r="J24" s="282" t="str">
        <f t="shared" si="8"/>
        <v/>
      </c>
      <c r="K24" s="200">
        <v>23</v>
      </c>
      <c r="L24" s="133">
        <f t="shared" si="9"/>
        <v>0</v>
      </c>
      <c r="M24" s="135" t="s">
        <v>5</v>
      </c>
      <c r="O24" s="147"/>
      <c r="P24" s="147"/>
      <c r="Q24" s="147"/>
      <c r="R24" s="147"/>
      <c r="S24" s="147"/>
      <c r="T24" s="147"/>
      <c r="U24" s="147"/>
      <c r="V24" s="147"/>
      <c r="W24" s="147"/>
      <c r="X24" s="147"/>
      <c r="Y24" s="147"/>
      <c r="Z24" s="147"/>
      <c r="AA24" s="147"/>
    </row>
    <row r="25" spans="1:28" ht="13.35" customHeight="1">
      <c r="A25" s="50" t="s">
        <v>5</v>
      </c>
      <c r="B25" s="141"/>
      <c r="C25" s="80"/>
      <c r="D25" s="93"/>
      <c r="E25" s="969"/>
      <c r="F25" s="385"/>
      <c r="G25" s="81"/>
      <c r="H25" s="82"/>
      <c r="I25" s="83" t="str">
        <f t="shared" si="7"/>
        <v/>
      </c>
      <c r="J25" s="282" t="str">
        <f t="shared" si="8"/>
        <v/>
      </c>
      <c r="K25" s="200">
        <v>24</v>
      </c>
      <c r="L25" s="133">
        <f t="shared" si="9"/>
        <v>0</v>
      </c>
      <c r="M25" s="135" t="s">
        <v>5</v>
      </c>
      <c r="O25" s="147"/>
      <c r="P25" s="147"/>
      <c r="Q25" s="147"/>
      <c r="R25" s="147"/>
      <c r="S25" s="147"/>
      <c r="T25" s="147"/>
      <c r="U25" s="147"/>
      <c r="V25" s="147"/>
      <c r="W25" s="147"/>
      <c r="X25" s="147"/>
      <c r="Y25" s="147"/>
      <c r="Z25" s="147"/>
      <c r="AA25" s="147"/>
    </row>
    <row r="26" spans="1:28" ht="13.35" customHeight="1">
      <c r="A26" s="50" t="s">
        <v>5</v>
      </c>
      <c r="B26" s="141"/>
      <c r="C26" s="80"/>
      <c r="D26" s="93"/>
      <c r="E26" s="969"/>
      <c r="F26" s="385"/>
      <c r="G26" s="81"/>
      <c r="H26" s="82"/>
      <c r="I26" s="83" t="str">
        <f t="shared" si="7"/>
        <v/>
      </c>
      <c r="J26" s="282" t="str">
        <f t="shared" si="8"/>
        <v/>
      </c>
      <c r="K26" s="200">
        <v>25</v>
      </c>
      <c r="L26" s="133">
        <f t="shared" si="9"/>
        <v>0</v>
      </c>
      <c r="M26" s="135" t="s">
        <v>5</v>
      </c>
      <c r="O26" s="147"/>
      <c r="P26" s="147"/>
      <c r="Q26" s="147"/>
      <c r="R26" s="147"/>
      <c r="S26" s="147"/>
      <c r="T26" s="147"/>
      <c r="U26" s="147"/>
      <c r="V26" s="147"/>
      <c r="W26" s="147"/>
      <c r="X26" s="147"/>
      <c r="Y26" s="147"/>
      <c r="Z26" s="147"/>
      <c r="AA26" s="147"/>
    </row>
    <row r="27" spans="1:28" ht="13.35" customHeight="1">
      <c r="A27" s="50" t="s">
        <v>5</v>
      </c>
      <c r="B27" s="141"/>
      <c r="C27" s="80"/>
      <c r="D27" s="93"/>
      <c r="E27" s="969"/>
      <c r="F27" s="385"/>
      <c r="G27" s="81"/>
      <c r="H27" s="82"/>
      <c r="I27" s="83" t="str">
        <f t="shared" si="7"/>
        <v/>
      </c>
      <c r="J27" s="282" t="str">
        <f t="shared" si="8"/>
        <v/>
      </c>
      <c r="K27" s="200">
        <v>26</v>
      </c>
      <c r="L27" s="133">
        <f t="shared" si="9"/>
        <v>0</v>
      </c>
      <c r="M27" s="135" t="s">
        <v>5</v>
      </c>
    </row>
    <row r="28" spans="1:28" ht="13.35" customHeight="1">
      <c r="A28" s="50" t="s">
        <v>5</v>
      </c>
      <c r="B28" s="141"/>
      <c r="C28" s="80"/>
      <c r="D28" s="93"/>
      <c r="E28" s="969"/>
      <c r="F28" s="385"/>
      <c r="G28" s="81"/>
      <c r="H28" s="82"/>
      <c r="I28" s="83" t="str">
        <f t="shared" si="7"/>
        <v/>
      </c>
      <c r="J28" s="282" t="str">
        <f t="shared" si="8"/>
        <v/>
      </c>
      <c r="K28" s="200">
        <v>27</v>
      </c>
      <c r="L28" s="133">
        <f t="shared" si="9"/>
        <v>0</v>
      </c>
      <c r="M28" s="135" t="s">
        <v>5</v>
      </c>
      <c r="O28" s="147"/>
      <c r="P28" s="147"/>
      <c r="Q28" s="147"/>
      <c r="R28" s="147"/>
      <c r="S28" s="147"/>
      <c r="T28" s="147"/>
      <c r="U28" s="147"/>
      <c r="V28" s="147"/>
      <c r="W28" s="147"/>
      <c r="X28" s="147"/>
      <c r="Y28" s="147"/>
      <c r="Z28" s="147"/>
      <c r="AA28" s="147"/>
    </row>
    <row r="29" spans="1:28" ht="13.35" customHeight="1">
      <c r="A29" s="50" t="s">
        <v>5</v>
      </c>
      <c r="B29" s="141"/>
      <c r="C29" s="80"/>
      <c r="D29" s="93"/>
      <c r="E29" s="969"/>
      <c r="F29" s="385"/>
      <c r="G29" s="81"/>
      <c r="H29" s="82"/>
      <c r="I29" s="83" t="str">
        <f t="shared" si="7"/>
        <v/>
      </c>
      <c r="J29" s="282" t="str">
        <f t="shared" si="8"/>
        <v/>
      </c>
      <c r="K29" s="200">
        <v>28</v>
      </c>
      <c r="L29" s="133">
        <f t="shared" si="9"/>
        <v>0</v>
      </c>
      <c r="M29" s="135" t="s">
        <v>5</v>
      </c>
      <c r="O29" s="147"/>
      <c r="P29" s="147"/>
      <c r="Q29" s="147"/>
      <c r="R29" s="147"/>
      <c r="S29" s="147"/>
      <c r="T29" s="147"/>
      <c r="U29" s="147"/>
      <c r="V29" s="147"/>
      <c r="W29" s="147"/>
      <c r="X29" s="147"/>
      <c r="Y29" s="147"/>
      <c r="Z29" s="147"/>
      <c r="AA29" s="147"/>
    </row>
    <row r="30" spans="1:28" ht="13.35" customHeight="1">
      <c r="A30" s="50" t="s">
        <v>5</v>
      </c>
      <c r="B30" s="141"/>
      <c r="C30" s="80"/>
      <c r="D30" s="93"/>
      <c r="E30" s="969"/>
      <c r="F30" s="385"/>
      <c r="G30" s="81"/>
      <c r="H30" s="82"/>
      <c r="I30" s="83" t="str">
        <f t="shared" si="7"/>
        <v/>
      </c>
      <c r="J30" s="282" t="str">
        <f t="shared" si="8"/>
        <v/>
      </c>
      <c r="K30" s="200">
        <v>29</v>
      </c>
      <c r="L30" s="133">
        <f t="shared" si="9"/>
        <v>0</v>
      </c>
      <c r="M30" s="135" t="s">
        <v>5</v>
      </c>
      <c r="O30" s="147"/>
      <c r="P30" s="147"/>
      <c r="Q30" s="147"/>
      <c r="R30" s="147"/>
      <c r="S30" s="147"/>
      <c r="T30" s="147"/>
      <c r="U30" s="147"/>
      <c r="V30" s="147"/>
      <c r="W30" s="147"/>
      <c r="X30" s="147"/>
      <c r="Y30" s="147"/>
      <c r="Z30" s="147"/>
      <c r="AA30" s="147"/>
    </row>
    <row r="31" spans="1:28" ht="13.35" customHeight="1">
      <c r="A31" s="50" t="s">
        <v>5</v>
      </c>
      <c r="B31" s="141"/>
      <c r="C31" s="80"/>
      <c r="D31" s="93"/>
      <c r="E31" s="969"/>
      <c r="F31" s="385"/>
      <c r="G31" s="81"/>
      <c r="H31" s="82"/>
      <c r="I31" s="83" t="str">
        <f t="shared" si="7"/>
        <v/>
      </c>
      <c r="J31" s="282" t="str">
        <f t="shared" si="8"/>
        <v/>
      </c>
      <c r="K31" s="200">
        <v>30</v>
      </c>
      <c r="L31" s="133">
        <f t="shared" si="9"/>
        <v>0</v>
      </c>
      <c r="M31" s="135" t="s">
        <v>5</v>
      </c>
      <c r="O31" s="147"/>
      <c r="P31" s="147"/>
      <c r="Q31" s="147"/>
      <c r="R31" s="147"/>
      <c r="S31" s="147"/>
      <c r="T31" s="147"/>
      <c r="U31" s="147"/>
      <c r="V31" s="147"/>
      <c r="W31" s="147"/>
      <c r="X31" s="147"/>
      <c r="Y31" s="147"/>
      <c r="Z31" s="147"/>
      <c r="AA31" s="147"/>
    </row>
    <row r="32" spans="1:28" ht="13.35" customHeight="1">
      <c r="A32" s="50" t="s">
        <v>5</v>
      </c>
      <c r="B32" s="141"/>
      <c r="C32" s="80"/>
      <c r="D32" s="93"/>
      <c r="E32" s="969"/>
      <c r="F32" s="385"/>
      <c r="G32" s="81"/>
      <c r="H32" s="82"/>
      <c r="I32" s="83" t="str">
        <f t="shared" si="7"/>
        <v/>
      </c>
      <c r="J32" s="282" t="str">
        <f t="shared" si="8"/>
        <v/>
      </c>
      <c r="K32" s="200">
        <v>31</v>
      </c>
      <c r="L32" s="133">
        <f t="shared" si="9"/>
        <v>0</v>
      </c>
      <c r="M32" s="135" t="s">
        <v>5</v>
      </c>
      <c r="O32" s="147"/>
      <c r="P32" s="147"/>
      <c r="Q32" s="147"/>
      <c r="R32" s="147"/>
      <c r="S32" s="147"/>
      <c r="T32" s="147"/>
      <c r="U32" s="147"/>
      <c r="V32" s="147"/>
      <c r="W32" s="147"/>
      <c r="X32" s="147"/>
      <c r="Y32" s="147"/>
      <c r="Z32" s="147"/>
      <c r="AA32" s="147"/>
    </row>
    <row r="33" spans="1:27" ht="13.35" customHeight="1">
      <c r="A33" s="50" t="s">
        <v>5</v>
      </c>
      <c r="B33" s="141"/>
      <c r="C33" s="80"/>
      <c r="D33" s="93"/>
      <c r="E33" s="969"/>
      <c r="F33" s="385"/>
      <c r="G33" s="81"/>
      <c r="H33" s="82"/>
      <c r="I33" s="83" t="str">
        <f t="shared" si="7"/>
        <v/>
      </c>
      <c r="J33" s="282" t="str">
        <f t="shared" si="8"/>
        <v/>
      </c>
      <c r="K33" s="200">
        <v>32</v>
      </c>
      <c r="L33" s="133">
        <f t="shared" si="9"/>
        <v>0</v>
      </c>
      <c r="M33" s="135" t="s">
        <v>5</v>
      </c>
      <c r="O33" s="147"/>
      <c r="P33" s="147"/>
      <c r="Q33" s="147"/>
      <c r="R33" s="147"/>
      <c r="S33" s="147"/>
      <c r="T33" s="147"/>
      <c r="U33" s="147"/>
      <c r="V33" s="147"/>
      <c r="W33" s="147"/>
      <c r="X33" s="147"/>
      <c r="Y33" s="147"/>
      <c r="Z33" s="147"/>
      <c r="AA33" s="147"/>
    </row>
    <row r="34" spans="1:27" ht="13.35" customHeight="1">
      <c r="A34" s="50" t="s">
        <v>5</v>
      </c>
      <c r="B34" s="141"/>
      <c r="C34" s="80"/>
      <c r="D34" s="93"/>
      <c r="E34" s="969"/>
      <c r="F34" s="385"/>
      <c r="G34" s="81"/>
      <c r="H34" s="82"/>
      <c r="I34" s="83" t="str">
        <f t="shared" si="7"/>
        <v/>
      </c>
      <c r="J34" s="282" t="str">
        <f t="shared" si="8"/>
        <v/>
      </c>
      <c r="K34" s="200">
        <v>33</v>
      </c>
      <c r="L34" s="133">
        <f t="shared" si="9"/>
        <v>0</v>
      </c>
      <c r="M34" s="135" t="s">
        <v>5</v>
      </c>
      <c r="O34" s="147"/>
      <c r="P34" s="147"/>
      <c r="Q34" s="147"/>
      <c r="R34" s="147"/>
      <c r="S34" s="147"/>
      <c r="T34" s="147"/>
      <c r="U34" s="147"/>
      <c r="V34" s="147"/>
      <c r="W34" s="147"/>
      <c r="X34" s="147"/>
      <c r="Y34" s="147"/>
      <c r="Z34" s="147"/>
      <c r="AA34" s="147"/>
    </row>
    <row r="35" spans="1:27" ht="13.35" customHeight="1">
      <c r="A35" s="50" t="s">
        <v>5</v>
      </c>
      <c r="B35" s="141"/>
      <c r="C35" s="80"/>
      <c r="D35" s="93"/>
      <c r="E35" s="969"/>
      <c r="F35" s="385"/>
      <c r="G35" s="81"/>
      <c r="H35" s="82"/>
      <c r="I35" s="83" t="str">
        <f t="shared" si="7"/>
        <v/>
      </c>
      <c r="J35" s="282" t="str">
        <f t="shared" si="8"/>
        <v/>
      </c>
      <c r="K35" s="200">
        <v>34</v>
      </c>
      <c r="L35" s="133">
        <f t="shared" si="9"/>
        <v>0</v>
      </c>
      <c r="M35" s="135" t="s">
        <v>5</v>
      </c>
      <c r="O35" s="147"/>
      <c r="P35" s="147"/>
      <c r="Q35" s="147"/>
      <c r="R35" s="147"/>
      <c r="S35" s="147"/>
      <c r="T35" s="147"/>
      <c r="U35" s="147"/>
      <c r="V35" s="147"/>
      <c r="W35" s="147"/>
      <c r="X35" s="147"/>
      <c r="Y35" s="147"/>
      <c r="Z35" s="147"/>
      <c r="AA35" s="147"/>
    </row>
    <row r="36" spans="1:27" ht="13.35" customHeight="1">
      <c r="A36" s="50" t="s">
        <v>5</v>
      </c>
      <c r="B36" s="141"/>
      <c r="C36" s="80"/>
      <c r="D36" s="93"/>
      <c r="E36" s="969"/>
      <c r="F36" s="385"/>
      <c r="G36" s="81"/>
      <c r="H36" s="82"/>
      <c r="I36" s="83" t="str">
        <f t="shared" si="7"/>
        <v/>
      </c>
      <c r="J36" s="282" t="str">
        <f t="shared" si="8"/>
        <v/>
      </c>
      <c r="K36" s="200">
        <v>35</v>
      </c>
      <c r="L36" s="133">
        <f t="shared" si="9"/>
        <v>0</v>
      </c>
      <c r="M36" s="135" t="s">
        <v>5</v>
      </c>
      <c r="O36" s="147"/>
      <c r="P36" s="147"/>
      <c r="Q36" s="147"/>
      <c r="R36" s="147"/>
      <c r="S36" s="147"/>
      <c r="T36" s="147"/>
      <c r="U36" s="147"/>
      <c r="V36" s="147"/>
      <c r="W36" s="147"/>
      <c r="X36" s="147"/>
      <c r="Y36" s="147"/>
      <c r="Z36" s="147"/>
      <c r="AA36" s="147"/>
    </row>
    <row r="37" spans="1:27" ht="13.35" customHeight="1">
      <c r="A37" s="50" t="s">
        <v>5</v>
      </c>
      <c r="B37" s="141"/>
      <c r="C37" s="80"/>
      <c r="D37" s="93"/>
      <c r="E37" s="969"/>
      <c r="F37" s="385"/>
      <c r="G37" s="81"/>
      <c r="H37" s="82"/>
      <c r="I37" s="83" t="str">
        <f t="shared" si="7"/>
        <v/>
      </c>
      <c r="J37" s="282" t="str">
        <f t="shared" si="8"/>
        <v/>
      </c>
      <c r="K37" s="200">
        <v>36</v>
      </c>
      <c r="L37" s="133">
        <f t="shared" si="9"/>
        <v>0</v>
      </c>
      <c r="M37" s="135" t="s">
        <v>5</v>
      </c>
      <c r="O37" s="147"/>
      <c r="P37" s="147"/>
      <c r="Q37" s="147"/>
      <c r="R37" s="147"/>
      <c r="S37" s="147"/>
      <c r="T37" s="147"/>
      <c r="U37" s="147"/>
      <c r="V37" s="147"/>
      <c r="W37" s="147"/>
      <c r="X37" s="147"/>
      <c r="Y37" s="147"/>
      <c r="Z37" s="147"/>
      <c r="AA37" s="147"/>
    </row>
    <row r="38" spans="1:27" ht="13.35" customHeight="1">
      <c r="A38" s="50" t="s">
        <v>5</v>
      </c>
      <c r="B38" s="141"/>
      <c r="C38" s="80"/>
      <c r="D38" s="93"/>
      <c r="E38" s="969"/>
      <c r="F38" s="385"/>
      <c r="G38" s="81"/>
      <c r="H38" s="82"/>
      <c r="I38" s="83" t="str">
        <f t="shared" si="7"/>
        <v/>
      </c>
      <c r="J38" s="282" t="str">
        <f t="shared" si="8"/>
        <v/>
      </c>
      <c r="K38" s="200">
        <v>37</v>
      </c>
      <c r="L38" s="133">
        <f t="shared" si="9"/>
        <v>0</v>
      </c>
      <c r="M38" s="135" t="s">
        <v>5</v>
      </c>
      <c r="O38" s="147"/>
      <c r="P38" s="147"/>
      <c r="Q38" s="147"/>
      <c r="R38" s="147"/>
      <c r="S38" s="147"/>
      <c r="T38" s="147"/>
      <c r="U38" s="147"/>
      <c r="V38" s="147"/>
      <c r="W38" s="147"/>
      <c r="X38" s="147"/>
      <c r="Y38" s="147"/>
      <c r="Z38" s="147"/>
      <c r="AA38" s="147"/>
    </row>
    <row r="39" spans="1:27" ht="13.35" customHeight="1">
      <c r="A39" s="50" t="s">
        <v>5</v>
      </c>
      <c r="B39" s="141"/>
      <c r="C39" s="80"/>
      <c r="D39" s="93"/>
      <c r="E39" s="969"/>
      <c r="F39" s="385"/>
      <c r="G39" s="81"/>
      <c r="H39" s="82"/>
      <c r="I39" s="83" t="str">
        <f t="shared" si="7"/>
        <v/>
      </c>
      <c r="J39" s="282" t="str">
        <f t="shared" si="8"/>
        <v/>
      </c>
      <c r="K39" s="200">
        <v>38</v>
      </c>
      <c r="L39" s="133">
        <f t="shared" si="9"/>
        <v>0</v>
      </c>
      <c r="M39" s="135" t="s">
        <v>5</v>
      </c>
      <c r="AA39" s="147"/>
    </row>
    <row r="40" spans="1:27" ht="13.35" customHeight="1">
      <c r="A40" s="50" t="s">
        <v>5</v>
      </c>
      <c r="B40" s="141"/>
      <c r="C40" s="80"/>
      <c r="D40" s="93"/>
      <c r="E40" s="969"/>
      <c r="F40" s="385"/>
      <c r="G40" s="81"/>
      <c r="H40" s="82"/>
      <c r="I40" s="83" t="str">
        <f t="shared" si="7"/>
        <v/>
      </c>
      <c r="J40" s="282" t="str">
        <f t="shared" si="8"/>
        <v/>
      </c>
      <c r="K40" s="200">
        <v>39</v>
      </c>
      <c r="L40" s="133">
        <f t="shared" si="9"/>
        <v>0</v>
      </c>
      <c r="M40" s="135" t="s">
        <v>5</v>
      </c>
      <c r="AA40" s="147"/>
    </row>
    <row r="41" spans="1:27" ht="13.35" customHeight="1">
      <c r="A41" s="50" t="s">
        <v>5</v>
      </c>
      <c r="B41" s="141"/>
      <c r="C41" s="80"/>
      <c r="D41" s="93"/>
      <c r="E41" s="969"/>
      <c r="F41" s="385"/>
      <c r="G41" s="81"/>
      <c r="H41" s="82"/>
      <c r="I41" s="83" t="str">
        <f t="shared" si="7"/>
        <v/>
      </c>
      <c r="J41" s="282" t="str">
        <f t="shared" si="8"/>
        <v/>
      </c>
      <c r="K41" s="200">
        <v>40</v>
      </c>
      <c r="L41" s="133">
        <f t="shared" si="9"/>
        <v>0</v>
      </c>
      <c r="M41" s="135" t="s">
        <v>5</v>
      </c>
      <c r="O41" s="147"/>
      <c r="P41" s="147"/>
      <c r="Q41" s="147"/>
      <c r="R41" s="147"/>
      <c r="S41" s="147"/>
      <c r="T41" s="147"/>
      <c r="U41" s="147"/>
      <c r="V41" s="147"/>
      <c r="W41" s="147"/>
      <c r="X41" s="147"/>
      <c r="Y41" s="147"/>
      <c r="Z41" s="147"/>
      <c r="AA41" s="147"/>
    </row>
    <row r="42" spans="1:27" ht="13.35" customHeight="1">
      <c r="A42" s="50" t="s">
        <v>5</v>
      </c>
      <c r="B42" s="141"/>
      <c r="C42" s="80"/>
      <c r="D42" s="93"/>
      <c r="E42" s="969"/>
      <c r="F42" s="385"/>
      <c r="G42" s="81"/>
      <c r="H42" s="82"/>
      <c r="I42" s="83" t="str">
        <f t="shared" si="7"/>
        <v/>
      </c>
      <c r="J42" s="282" t="str">
        <f t="shared" si="8"/>
        <v/>
      </c>
      <c r="K42" s="200">
        <v>41</v>
      </c>
      <c r="L42" s="133">
        <f t="shared" si="9"/>
        <v>0</v>
      </c>
      <c r="M42" s="135" t="s">
        <v>5</v>
      </c>
      <c r="O42" s="147"/>
      <c r="P42" s="147"/>
      <c r="Q42" s="147"/>
      <c r="R42" s="147"/>
      <c r="S42" s="147"/>
      <c r="T42" s="147"/>
      <c r="U42" s="147"/>
      <c r="V42" s="147"/>
      <c r="W42" s="147"/>
      <c r="X42" s="147"/>
      <c r="Y42" s="147"/>
      <c r="Z42" s="147"/>
      <c r="AA42" s="147"/>
    </row>
    <row r="43" spans="1:27" ht="13.35" customHeight="1">
      <c r="A43" s="50" t="s">
        <v>5</v>
      </c>
      <c r="B43" s="141"/>
      <c r="C43" s="80"/>
      <c r="D43" s="93"/>
      <c r="E43" s="969"/>
      <c r="F43" s="385"/>
      <c r="G43" s="81"/>
      <c r="H43" s="82"/>
      <c r="I43" s="83" t="str">
        <f t="shared" si="7"/>
        <v/>
      </c>
      <c r="J43" s="282" t="str">
        <f t="shared" si="8"/>
        <v/>
      </c>
      <c r="K43" s="200">
        <v>42</v>
      </c>
      <c r="L43" s="133">
        <f t="shared" si="9"/>
        <v>0</v>
      </c>
      <c r="M43" s="135" t="s">
        <v>5</v>
      </c>
      <c r="O43" s="147"/>
      <c r="P43" s="147"/>
      <c r="Q43" s="147"/>
      <c r="R43" s="147"/>
      <c r="S43" s="147"/>
      <c r="T43" s="147"/>
      <c r="U43" s="147"/>
      <c r="V43" s="147"/>
      <c r="W43" s="147"/>
      <c r="X43" s="147"/>
      <c r="Y43" s="147"/>
      <c r="Z43" s="147"/>
      <c r="AA43" s="147"/>
    </row>
    <row r="44" spans="1:27" ht="13.35" customHeight="1">
      <c r="A44" s="50" t="s">
        <v>5</v>
      </c>
      <c r="B44" s="141"/>
      <c r="C44" s="80"/>
      <c r="D44" s="93"/>
      <c r="E44" s="969"/>
      <c r="F44" s="385"/>
      <c r="G44" s="81"/>
      <c r="H44" s="82"/>
      <c r="I44" s="83" t="str">
        <f t="shared" si="7"/>
        <v/>
      </c>
      <c r="J44" s="282" t="str">
        <f t="shared" si="8"/>
        <v/>
      </c>
      <c r="K44" s="200">
        <v>43</v>
      </c>
      <c r="L44" s="133">
        <f t="shared" si="9"/>
        <v>0</v>
      </c>
      <c r="M44" s="135" t="s">
        <v>5</v>
      </c>
      <c r="O44" s="147"/>
      <c r="P44" s="147"/>
      <c r="Q44" s="147"/>
      <c r="R44" s="147"/>
      <c r="S44" s="147"/>
      <c r="T44" s="147"/>
      <c r="U44" s="147"/>
      <c r="V44" s="147"/>
      <c r="W44" s="147"/>
      <c r="X44" s="147"/>
      <c r="Y44" s="147"/>
      <c r="Z44" s="147"/>
      <c r="AA44" s="147"/>
    </row>
    <row r="45" spans="1:27" ht="13.35" customHeight="1">
      <c r="A45" s="50" t="s">
        <v>5</v>
      </c>
      <c r="B45" s="141"/>
      <c r="C45" s="80"/>
      <c r="D45" s="93"/>
      <c r="E45" s="969"/>
      <c r="F45" s="385"/>
      <c r="G45" s="81"/>
      <c r="H45" s="82"/>
      <c r="I45" s="83" t="str">
        <f t="shared" si="7"/>
        <v/>
      </c>
      <c r="J45" s="282" t="str">
        <f t="shared" si="8"/>
        <v/>
      </c>
      <c r="K45" s="200">
        <v>46</v>
      </c>
      <c r="L45" s="133">
        <f t="shared" si="9"/>
        <v>0</v>
      </c>
      <c r="M45" s="135" t="s">
        <v>5</v>
      </c>
    </row>
    <row r="46" spans="1:27" ht="13.35" customHeight="1" thickBot="1">
      <c r="A46" s="50" t="s">
        <v>5</v>
      </c>
      <c r="B46" s="141"/>
      <c r="C46" s="80"/>
      <c r="D46" s="93"/>
      <c r="E46" s="969"/>
      <c r="F46" s="385"/>
      <c r="G46" s="81"/>
      <c r="H46" s="82"/>
      <c r="I46" s="83" t="str">
        <f t="shared" si="7"/>
        <v/>
      </c>
      <c r="J46" s="282" t="str">
        <f t="shared" si="8"/>
        <v/>
      </c>
      <c r="K46" s="200">
        <v>47</v>
      </c>
      <c r="L46" s="133">
        <f t="shared" si="9"/>
        <v>0</v>
      </c>
      <c r="M46" s="135" t="s">
        <v>5</v>
      </c>
    </row>
    <row r="47" spans="1:27" ht="12" customHeight="1" thickTop="1" thickBot="1">
      <c r="A47" s="391" t="s">
        <v>283</v>
      </c>
      <c r="B47" s="1244" t="str">
        <f>IF($A$48=0,"^ Zeile einfügen","bis hierher ziehen!")</f>
        <v>^ Zeile einfügen</v>
      </c>
      <c r="C47" s="1244"/>
      <c r="D47" s="392" t="s">
        <v>5</v>
      </c>
      <c r="E47" s="393" t="s">
        <v>5</v>
      </c>
      <c r="F47" s="394" t="s">
        <v>5</v>
      </c>
      <c r="G47" s="394"/>
      <c r="H47" s="395"/>
      <c r="I47" s="396"/>
      <c r="J47" s="425"/>
      <c r="K47" s="201">
        <v>0</v>
      </c>
      <c r="L47" s="185" t="s">
        <v>5</v>
      </c>
      <c r="M47" s="398" t="s">
        <v>283</v>
      </c>
    </row>
    <row r="48" spans="1:27" ht="12" customHeight="1" thickTop="1" thickBot="1">
      <c r="A48" s="390">
        <f>COUNTBLANK(A3:A47)+A49</f>
        <v>0</v>
      </c>
      <c r="B48" s="193" t="str">
        <f>+EÜR!C8</f>
        <v>ü</v>
      </c>
      <c r="C48" s="194" t="s">
        <v>5</v>
      </c>
      <c r="D48" s="194" t="s">
        <v>5</v>
      </c>
      <c r="E48" s="195" t="s">
        <v>5</v>
      </c>
      <c r="F48" s="196" t="s">
        <v>5</v>
      </c>
      <c r="G48" s="197">
        <f>SUBTOTAL(9,G3:G47)</f>
        <v>0</v>
      </c>
      <c r="H48" s="1242">
        <f>SUBTOTAL(9,I3:I47)</f>
        <v>0</v>
      </c>
      <c r="I48" s="1243">
        <f>SUBTOTAL(9,I3:I47)</f>
        <v>0</v>
      </c>
      <c r="J48" s="1233">
        <f>G48-H48</f>
        <v>0</v>
      </c>
      <c r="K48" s="1234"/>
      <c r="L48" s="1235"/>
      <c r="M48" s="135" t="s">
        <v>5</v>
      </c>
    </row>
    <row r="49" spans="1:14" ht="12" customHeight="1" thickTop="1" thickBot="1">
      <c r="A49" s="390">
        <f>IF(ISERROR(J47),1,0)</f>
        <v>0</v>
      </c>
      <c r="B49" s="192">
        <f>J48-G49-E49-C49</f>
        <v>0</v>
      </c>
      <c r="C49" s="1239">
        <f>SUMIF(F4:F47,"Kreditkarte",G4:G47)</f>
        <v>0</v>
      </c>
      <c r="D49" s="1239"/>
      <c r="E49" s="1240">
        <f>SUMIF(F4:F47,"Konto",G4:G47)</f>
        <v>0</v>
      </c>
      <c r="F49" s="1240"/>
      <c r="G49" s="1241">
        <f>SUMIF(F4:F47,"Geldbeutel",G4:G47)</f>
        <v>0</v>
      </c>
      <c r="H49" s="1241"/>
      <c r="I49" s="1241"/>
      <c r="J49" s="1236"/>
      <c r="K49" s="1237"/>
      <c r="L49" s="1238"/>
      <c r="M49" s="135" t="s">
        <v>5</v>
      </c>
    </row>
    <row r="50" spans="1:14" s="15" customFormat="1" ht="5.25" customHeight="1" thickTop="1">
      <c r="A50" s="36"/>
      <c r="B50" s="2"/>
      <c r="C50" s="3"/>
      <c r="D50" s="3"/>
      <c r="E50" s="1"/>
      <c r="G50" s="16"/>
      <c r="H50" s="16"/>
      <c r="I50" s="17"/>
      <c r="J50" s="18"/>
      <c r="K50" s="18"/>
      <c r="L50" s="31"/>
      <c r="M50" s="18"/>
      <c r="N50" s="148"/>
    </row>
    <row r="51" spans="1:14">
      <c r="A51" s="36"/>
    </row>
  </sheetData>
  <sheetProtection formatCells="0" insertRows="0" deleteRows="0" selectLockedCells="1" sort="0" autoFilter="0"/>
  <mergeCells count="18">
    <mergeCell ref="C2:I2"/>
    <mergeCell ref="J2:L2"/>
    <mergeCell ref="O10:Z10"/>
    <mergeCell ref="J48:L49"/>
    <mergeCell ref="C49:D49"/>
    <mergeCell ref="E49:F49"/>
    <mergeCell ref="G49:I49"/>
    <mergeCell ref="H48:I48"/>
    <mergeCell ref="B47:C47"/>
    <mergeCell ref="AA4:AB4"/>
    <mergeCell ref="AA9:AB9"/>
    <mergeCell ref="O14:Z14"/>
    <mergeCell ref="O18:Z18"/>
    <mergeCell ref="O11:Z11"/>
    <mergeCell ref="AA13:AB13"/>
    <mergeCell ref="AA14:AB14"/>
    <mergeCell ref="AA17:AB17"/>
    <mergeCell ref="AA18:AB18"/>
  </mergeCells>
  <conditionalFormatting sqref="A4:A46 M4:M46">
    <cfRule type="cellIs" dxfId="1735" priority="11" operator="equal">
      <formula>""</formula>
    </cfRule>
  </conditionalFormatting>
  <conditionalFormatting sqref="A4:A46">
    <cfRule type="expression" dxfId="1734" priority="3">
      <formula>ISERROR(J4)</formula>
    </cfRule>
  </conditionalFormatting>
  <conditionalFormatting sqref="A47:C47">
    <cfRule type="expression" dxfId="1733" priority="1">
      <formula>$A$48&lt;&gt;0</formula>
    </cfRule>
  </conditionalFormatting>
  <conditionalFormatting sqref="B2">
    <cfRule type="expression" dxfId="1732" priority="81" stopIfTrue="1">
      <formula>$B$48="x"</formula>
    </cfRule>
  </conditionalFormatting>
  <conditionalFormatting sqref="B4:B46">
    <cfRule type="cellIs" dxfId="1731" priority="45" operator="equal">
      <formula>""</formula>
    </cfRule>
  </conditionalFormatting>
  <conditionalFormatting sqref="B48">
    <cfRule type="cellIs" dxfId="1728" priority="77" operator="equal">
      <formula>"y"</formula>
    </cfRule>
  </conditionalFormatting>
  <conditionalFormatting sqref="B3:J46">
    <cfRule type="expression" dxfId="1727" priority="13">
      <formula>$B$1="x"</formula>
    </cfRule>
  </conditionalFormatting>
  <conditionalFormatting sqref="B3:L3">
    <cfRule type="expression" dxfId="1726" priority="69">
      <formula>$B$1="x"</formula>
    </cfRule>
  </conditionalFormatting>
  <conditionalFormatting sqref="C4:D46">
    <cfRule type="expression" dxfId="1725" priority="8610">
      <formula>AND($B4&lt;&gt;"",$C4="")</formula>
    </cfRule>
  </conditionalFormatting>
  <conditionalFormatting sqref="C49:I49">
    <cfRule type="cellIs" dxfId="1724" priority="72" stopIfTrue="1" operator="greaterThanOrEqual">
      <formula>0</formula>
    </cfRule>
    <cfRule type="cellIs" dxfId="1723" priority="74" stopIfTrue="1" operator="lessThan">
      <formula>0</formula>
    </cfRule>
  </conditionalFormatting>
  <conditionalFormatting sqref="D47:J47">
    <cfRule type="expression" dxfId="1722" priority="7">
      <formula>$A$48&lt;&gt;0</formula>
    </cfRule>
  </conditionalFormatting>
  <conditionalFormatting sqref="H4:H46">
    <cfRule type="expression" dxfId="1721" priority="44">
      <formula>AND(G4&lt;&gt;"",H4="",$I$1&lt;&gt;"x")</formula>
    </cfRule>
  </conditionalFormatting>
  <conditionalFormatting sqref="H4:I46">
    <cfRule type="expression" dxfId="1720" priority="14">
      <formula>AND($I4&lt;&gt;0,$I$1&lt;&gt;"ü")</formula>
    </cfRule>
    <cfRule type="expression" dxfId="1719" priority="15">
      <formula>$I$1&lt;&gt;"ü"</formula>
    </cfRule>
  </conditionalFormatting>
  <conditionalFormatting sqref="J48:L48 C49:L49 C48:H48">
    <cfRule type="expression" dxfId="1717" priority="71">
      <formula>$B$48="x"</formula>
    </cfRule>
  </conditionalFormatting>
  <conditionalFormatting sqref="J48:L49">
    <cfRule type="expression" dxfId="1716" priority="70">
      <formula>AND($B$48="x",$J$48&lt;&gt;0)</formula>
    </cfRule>
  </conditionalFormatting>
  <conditionalFormatting sqref="M4:M46">
    <cfRule type="expression" dxfId="1715" priority="10">
      <formula>ISERROR(J4)</formula>
    </cfRule>
  </conditionalFormatting>
  <conditionalFormatting sqref="M47">
    <cfRule type="expression" dxfId="1714" priority="6">
      <formula>$A$48&lt;&gt;0</formula>
    </cfRule>
  </conditionalFormatting>
  <conditionalFormatting sqref="M47:M49 M3">
    <cfRule type="cellIs" dxfId="1713" priority="55" operator="equal">
      <formula>""</formula>
    </cfRule>
  </conditionalFormatting>
  <conditionalFormatting sqref="O11:Z11">
    <cfRule type="cellIs" dxfId="1712" priority="22" operator="equal">
      <formula>"Fehler!"</formula>
    </cfRule>
  </conditionalFormatting>
  <conditionalFormatting sqref="O4:AA4 O10:AB49">
    <cfRule type="expression" dxfId="1708" priority="16">
      <formula>$N$2=0</formula>
    </cfRule>
  </conditionalFormatting>
  <conditionalFormatting sqref="O2:AB3 O5:AB8 O9:AA9 N10">
    <cfRule type="expression" dxfId="1706" priority="21">
      <formula>$N$2=0</formula>
    </cfRule>
  </conditionalFormatting>
  <dataValidations count="2">
    <dataValidation type="list" allowBlank="1" showInputMessage="1" showErrorMessage="1" sqref="F4:F46" xr:uid="{FE6DE19F-F3DB-404B-834B-8AE2B4C71531}">
      <formula1>"Konto,Geldbeutel,Kreditkarte,x"</formula1>
    </dataValidation>
    <dataValidation type="list" allowBlank="1" showInputMessage="1" showErrorMessage="1" sqref="H4:H46" xr:uid="{F5B0ECD3-2B93-4124-A195-A44E209A578D}">
      <formula1>"19,7,0,~"</formula1>
    </dataValidation>
  </dataValidations>
  <hyperlinks>
    <hyperlink ref="J2" location="'2022 EÜR'!A1" display="Menü" xr:uid="{B0AC9384-3FDC-4A3D-BE3B-2F7D65C01B09}"/>
    <hyperlink ref="J2:L2" location="EÜR!A1" display="EÜR" xr:uid="{D2E54B52-6F2C-4502-A7B9-048A9D7A64C0}"/>
  </hyperlinks>
  <printOptions horizontalCentered="1"/>
  <pageMargins left="0" right="0" top="0" bottom="0.31496062992125984" header="0" footer="0"/>
  <pageSetup paperSize="9" orientation="portrait" r:id="rId1"/>
  <headerFooter>
    <oddFooter>&amp;L&amp;"Arial,Standard"&amp;8Datei: &amp;Z&amp;F/&amp;A&amp;C&amp;"Arial,Standard"&amp;8Seite &amp;P von &amp;N&amp;R&amp;"Arial,Standard"&amp;8Druck: &amp;D&amp;T Uhr</oddFooter>
  </headerFooter>
  <extLst>
    <ext xmlns:x14="http://schemas.microsoft.com/office/spreadsheetml/2009/9/main" uri="{78C0D931-6437-407d-A8EE-F0AAD7539E65}">
      <x14:conditionalFormattings>
        <x14:conditionalFormatting xmlns:xm="http://schemas.microsoft.com/office/excel/2006/main">
          <x14:cfRule type="cellIs" priority="51" operator="greaterThan" id="{7EBAAB4B-DDAE-4974-9BC3-DC74FDB41625}">
            <xm:f>EÜR!$I$78</xm:f>
            <x14:dxf>
              <font>
                <b/>
                <i val="0"/>
                <color rgb="FFFFFF00"/>
              </font>
              <fill>
                <patternFill>
                  <bgColor rgb="FFC00000"/>
                </patternFill>
              </fill>
            </x14:dxf>
          </x14:cfRule>
          <x14:cfRule type="cellIs" priority="53" operator="lessThan" id="{FB5AAE0D-DBFB-4086-9CF8-86907896C769}">
            <xm:f>EÜR!$I$77</xm:f>
            <x14:dxf>
              <font>
                <b/>
                <i val="0"/>
                <color rgb="FFFFFF00"/>
              </font>
              <fill>
                <patternFill>
                  <bgColor rgb="FFC00000"/>
                </patternFill>
              </fill>
            </x14:dxf>
          </x14:cfRule>
          <xm:sqref>B4:B46</xm:sqref>
        </x14:conditionalFormatting>
        <x14:conditionalFormatting xmlns:xm="http://schemas.microsoft.com/office/excel/2006/main">
          <x14:cfRule type="expression" priority="17" id="{4539CC4B-B285-4946-A9D9-B51E9796A725}">
            <xm:f>AND(EÜR!$J$66&lt;&gt;"ü",$H$48&lt;&gt;0)</xm:f>
            <x14:dxf>
              <font>
                <b/>
                <i val="0"/>
                <color rgb="FFFFFF00"/>
              </font>
              <fill>
                <patternFill>
                  <bgColor rgb="FFFF0000"/>
                </patternFill>
              </fill>
            </x14:dxf>
          </x14:cfRule>
          <xm:sqref>H48:I48</xm:sqref>
        </x14:conditionalFormatting>
        <x14:conditionalFormatting xmlns:xm="http://schemas.microsoft.com/office/excel/2006/main">
          <x14:cfRule type="expression" priority="40" id="{373EE127-B8FE-4A0B-BB71-FCF998B8C816}">
            <xm:f>AND(O13&lt;&gt;0,U!L36="!",U!L37="!")</xm:f>
            <x14:dxf>
              <font>
                <b/>
                <i val="0"/>
                <color rgb="FFFF0000"/>
              </font>
              <fill>
                <patternFill>
                  <bgColor rgb="FFFFCCCC"/>
                </patternFill>
              </fill>
            </x14:dxf>
          </x14:cfRule>
          <x14:cfRule type="expression" priority="41" id="{5E56ABA9-B35E-4906-94E0-420A1075165A}">
            <xm:f>U!L37&lt;&gt;"!"</xm:f>
            <x14:dxf>
              <font>
                <b/>
                <i val="0"/>
                <color rgb="FF006666"/>
              </font>
              <fill>
                <patternFill>
                  <bgColor theme="6" tint="0.39994506668294322"/>
                </patternFill>
              </fill>
            </x14:dxf>
          </x14:cfRule>
          <x14:cfRule type="expression" priority="42" id="{2CFFED5B-206E-4347-9A15-148221AEF29A}">
            <xm:f>U!L36&lt;&gt;"!"</xm:f>
            <x14:dxf>
              <font>
                <b/>
                <i val="0"/>
                <color theme="9" tint="-0.499984740745262"/>
              </font>
              <fill>
                <patternFill>
                  <bgColor rgb="FFFFFF99"/>
                </patternFill>
              </fill>
            </x14:dxf>
          </x14:cfRule>
          <xm:sqref>O13:Z13</xm:sqref>
        </x14:conditionalFormatting>
        <x14:conditionalFormatting xmlns:xm="http://schemas.microsoft.com/office/excel/2006/main">
          <x14:cfRule type="expression" priority="19" id="{88DE8AED-AB45-485C-8B88-623F460E36C2}">
            <xm:f>EÜR!$J$66="-"</xm:f>
            <x14:dxf>
              <font>
                <b/>
                <i val="0"/>
                <color theme="0"/>
              </font>
              <fill>
                <patternFill>
                  <bgColor theme="0"/>
                </patternFill>
              </fill>
              <border>
                <left/>
                <right/>
                <top/>
                <bottom/>
              </border>
            </x14:dxf>
          </x14:cfRule>
          <xm:sqref>O12:AA21</xm:sqref>
        </x14:conditionalFormatting>
      </x14:conditionalFormatting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A3B88B-7361-4310-AABB-D0C8E0B9B226}">
  <sheetPr codeName="Tabelle15">
    <tabColor theme="9" tint="0.39997558519241921"/>
    <pageSetUpPr autoPageBreaks="0"/>
  </sheetPr>
  <dimension ref="A1:AB51"/>
  <sheetViews>
    <sheetView showGridLines="0" showRowColHeaders="0" zoomScaleNormal="100" workbookViewId="0">
      <pane ySplit="3" topLeftCell="A4" activePane="bottomLeft" state="frozen"/>
      <selection activeCell="F4" sqref="F4:F46"/>
      <selection pane="bottomLeft" activeCell="A4" sqref="A4"/>
    </sheetView>
  </sheetViews>
  <sheetFormatPr baseColWidth="10" defaultColWidth="9.77734375" defaultRowHeight="12.75"/>
  <cols>
    <col min="1" max="1" width="0.77734375" style="12" customWidth="1"/>
    <col min="2" max="2" width="7.6640625" style="30" customWidth="1"/>
    <col min="3" max="3" width="21.6640625" style="24" customWidth="1"/>
    <col min="4" max="4" width="7.6640625" style="24" customWidth="1"/>
    <col min="5" max="5" width="6.6640625" style="25" customWidth="1"/>
    <col min="6" max="6" width="9.6640625" style="26" customWidth="1"/>
    <col min="7" max="7" width="9.6640625" style="27" customWidth="1"/>
    <col min="8" max="8" width="2.6640625" style="28" customWidth="1"/>
    <col min="9" max="9" width="6.6640625" style="29" customWidth="1"/>
    <col min="10" max="10" width="9.6640625" style="27" customWidth="1"/>
    <col min="11" max="11" width="2.5546875" style="27" hidden="1" customWidth="1"/>
    <col min="12" max="12" width="1.5546875" style="32" hidden="1" customWidth="1"/>
    <col min="13" max="13" width="0.77734375" style="13" customWidth="1"/>
    <col min="14" max="14" width="1.77734375" style="147" customWidth="1"/>
    <col min="15" max="26" width="8.77734375" style="13" customWidth="1"/>
    <col min="27" max="27" width="10.33203125" style="13" customWidth="1"/>
    <col min="28" max="28" width="8.33203125" style="13" customWidth="1"/>
    <col min="29" max="16384" width="9.77734375" style="13"/>
  </cols>
  <sheetData>
    <row r="1" spans="1:28" s="37" customFormat="1" ht="3" customHeight="1" thickBot="1">
      <c r="A1" s="36"/>
      <c r="B1" s="53" t="str">
        <f>+B48</f>
        <v>ü</v>
      </c>
      <c r="C1" s="54">
        <f>+C49</f>
        <v>0</v>
      </c>
      <c r="D1" s="54"/>
      <c r="E1" s="53">
        <f>+E49</f>
        <v>0</v>
      </c>
      <c r="F1" s="53"/>
      <c r="G1" s="54">
        <f>+G49</f>
        <v>0</v>
      </c>
      <c r="H1" s="53"/>
      <c r="I1" s="338" t="s">
        <v>168</v>
      </c>
      <c r="J1" s="54">
        <f>+J48</f>
        <v>0</v>
      </c>
      <c r="K1" s="198"/>
      <c r="L1" s="56"/>
      <c r="N1" s="190"/>
    </row>
    <row r="2" spans="1:28" ht="23.1" customHeight="1" thickTop="1" thickBot="1">
      <c r="A2" s="36"/>
      <c r="B2" s="296" t="str">
        <f>+EÜR!D28</f>
        <v>A07</v>
      </c>
      <c r="C2" s="1290" t="str">
        <f>+EÜR!F28</f>
        <v>Aufwendungen für doppelte Haushaltsführung</v>
      </c>
      <c r="D2" s="1291"/>
      <c r="E2" s="1291"/>
      <c r="F2" s="1291"/>
      <c r="G2" s="1291"/>
      <c r="H2" s="1291"/>
      <c r="I2" s="1292"/>
      <c r="J2" s="1227" t="s">
        <v>8</v>
      </c>
      <c r="K2" s="1228"/>
      <c r="L2" s="1229"/>
      <c r="M2" s="134"/>
      <c r="N2" s="190">
        <f>IF(OR(B48="x",N3=1),0,1)</f>
        <v>1</v>
      </c>
      <c r="O2" s="188">
        <f>+EOMONTH(EÜR!$I$3,-1)+1</f>
        <v>46023</v>
      </c>
      <c r="P2" s="188">
        <f t="shared" ref="P2:Z2" si="0">+O3+1</f>
        <v>46054</v>
      </c>
      <c r="Q2" s="188">
        <f t="shared" si="0"/>
        <v>46082</v>
      </c>
      <c r="R2" s="188">
        <f t="shared" si="0"/>
        <v>46113</v>
      </c>
      <c r="S2" s="188">
        <f t="shared" si="0"/>
        <v>46143</v>
      </c>
      <c r="T2" s="188">
        <f t="shared" si="0"/>
        <v>46174</v>
      </c>
      <c r="U2" s="188">
        <f t="shared" si="0"/>
        <v>46204</v>
      </c>
      <c r="V2" s="188">
        <f t="shared" si="0"/>
        <v>46235</v>
      </c>
      <c r="W2" s="188">
        <f t="shared" si="0"/>
        <v>46266</v>
      </c>
      <c r="X2" s="188">
        <f t="shared" si="0"/>
        <v>46296</v>
      </c>
      <c r="Y2" s="188">
        <f t="shared" si="0"/>
        <v>46327</v>
      </c>
      <c r="Z2" s="188">
        <f t="shared" si="0"/>
        <v>46357</v>
      </c>
      <c r="AA2" s="48"/>
    </row>
    <row r="3" spans="1:28" ht="14.25" customHeight="1" thickTop="1">
      <c r="A3" s="36" t="s">
        <v>5</v>
      </c>
      <c r="B3" s="58" t="s">
        <v>1</v>
      </c>
      <c r="C3" s="59" t="s">
        <v>6</v>
      </c>
      <c r="D3" s="60"/>
      <c r="E3" s="310" t="s">
        <v>7</v>
      </c>
      <c r="F3" s="61" t="s">
        <v>4</v>
      </c>
      <c r="G3" s="62" t="s">
        <v>31</v>
      </c>
      <c r="H3" s="63" t="s">
        <v>33</v>
      </c>
      <c r="I3" s="64" t="s">
        <v>32</v>
      </c>
      <c r="J3" s="275" t="s">
        <v>34</v>
      </c>
      <c r="K3" s="199">
        <v>0</v>
      </c>
      <c r="L3" s="65" t="s">
        <v>5</v>
      </c>
      <c r="M3" s="135" t="s">
        <v>5</v>
      </c>
      <c r="N3" s="222">
        <f>IF(SUBTOTAL(109,K3:K47)&lt;&gt;SUM(K3:K47),1,0)</f>
        <v>0</v>
      </c>
      <c r="O3" s="189">
        <f>EOMONTH(O2,0)</f>
        <v>46053</v>
      </c>
      <c r="P3" s="189">
        <f t="shared" ref="P3:Z3" si="1">EOMONTH(P2,0)</f>
        <v>46081</v>
      </c>
      <c r="Q3" s="189">
        <f t="shared" si="1"/>
        <v>46112</v>
      </c>
      <c r="R3" s="189">
        <f t="shared" si="1"/>
        <v>46142</v>
      </c>
      <c r="S3" s="189">
        <f t="shared" si="1"/>
        <v>46173</v>
      </c>
      <c r="T3" s="189">
        <f t="shared" si="1"/>
        <v>46203</v>
      </c>
      <c r="U3" s="189">
        <f t="shared" si="1"/>
        <v>46234</v>
      </c>
      <c r="V3" s="189">
        <f t="shared" si="1"/>
        <v>46265</v>
      </c>
      <c r="W3" s="189">
        <f t="shared" si="1"/>
        <v>46295</v>
      </c>
      <c r="X3" s="189">
        <f t="shared" si="1"/>
        <v>46326</v>
      </c>
      <c r="Y3" s="189">
        <f t="shared" si="1"/>
        <v>46356</v>
      </c>
      <c r="Z3" s="189">
        <f t="shared" si="1"/>
        <v>46387</v>
      </c>
      <c r="AB3" s="14"/>
    </row>
    <row r="4" spans="1:28" ht="13.35" customHeight="1">
      <c r="A4" s="50" t="s">
        <v>5</v>
      </c>
      <c r="B4" s="141"/>
      <c r="C4" s="80"/>
      <c r="D4" s="93"/>
      <c r="E4" s="226"/>
      <c r="F4" s="89"/>
      <c r="G4" s="81"/>
      <c r="H4" s="82"/>
      <c r="I4" s="83" t="str">
        <f t="shared" ref="I4:I44" si="2">IF(G4&lt;&gt;"",+G4-G4/(1+H4/100),"")</f>
        <v/>
      </c>
      <c r="J4" s="361" t="str">
        <f t="shared" ref="J4:J44" si="3">IF(G4&lt;&gt;0,+G4-I4,"")</f>
        <v/>
      </c>
      <c r="K4" s="200">
        <v>1</v>
      </c>
      <c r="L4" s="133">
        <f>IF(B4&lt;$O$2,0,IF(B4&lt;$P$2,1,IF(B4&lt;$Q$2,2,IF(B4&lt;$R$2,3,IF(B4&lt;$S$2,4,IF(B4&lt;$T$2,5,IF(B4&lt;$U$2,6,IF(B4&lt;$V$2,7,IF(B4&lt;$W$2,8,IF(B4&lt;$X$2,9,IF(B4&lt;$Y$2,10,IF(B4&lt;$Z$2,11,IF(B4&lt;=$Z$3,12,0)))))))))))))</f>
        <v>0</v>
      </c>
      <c r="M4" s="135" t="s">
        <v>5</v>
      </c>
      <c r="N4" s="190">
        <f>+N10+AA12+AA16</f>
        <v>0</v>
      </c>
      <c r="O4" s="251" t="s">
        <v>36</v>
      </c>
      <c r="P4" s="251" t="s">
        <v>37</v>
      </c>
      <c r="Q4" s="251" t="s">
        <v>38</v>
      </c>
      <c r="R4" s="251" t="s">
        <v>39</v>
      </c>
      <c r="S4" s="251" t="s">
        <v>40</v>
      </c>
      <c r="T4" s="251" t="s">
        <v>41</v>
      </c>
      <c r="U4" s="251" t="s">
        <v>42</v>
      </c>
      <c r="V4" s="251" t="s">
        <v>43</v>
      </c>
      <c r="W4" s="251" t="s">
        <v>44</v>
      </c>
      <c r="X4" s="251" t="s">
        <v>45</v>
      </c>
      <c r="Y4" s="251" t="s">
        <v>46</v>
      </c>
      <c r="Z4" s="251" t="s">
        <v>47</v>
      </c>
      <c r="AA4" s="1209" t="s">
        <v>255</v>
      </c>
      <c r="AB4" s="1210"/>
    </row>
    <row r="5" spans="1:28" ht="13.35" customHeight="1">
      <c r="A5" s="50" t="s">
        <v>5</v>
      </c>
      <c r="B5" s="141"/>
      <c r="C5" s="80"/>
      <c r="D5" s="93"/>
      <c r="E5" s="226"/>
      <c r="F5" s="89"/>
      <c r="G5" s="81"/>
      <c r="H5" s="82"/>
      <c r="I5" s="83" t="str">
        <f t="shared" si="2"/>
        <v/>
      </c>
      <c r="J5" s="361" t="str">
        <f t="shared" si="3"/>
        <v/>
      </c>
      <c r="K5" s="200">
        <v>2</v>
      </c>
      <c r="L5" s="133">
        <f t="shared" ref="L5:L44" si="4">IF(B5&lt;$O$2,0,IF(B5&lt;$P$2,1,IF(B5&lt;$Q$2,2,IF(B5&lt;$R$2,3,IF(B5&lt;$S$2,4,IF(B5&lt;$T$2,5,IF(B5&lt;$U$2,6,IF(B5&lt;$V$2,7,IF(B5&lt;$W$2,8,IF(B5&lt;$X$2,9,IF(B5&lt;$Y$2,10,IF(B5&lt;$Z$2,11,IF(B5&lt;=$Z$3,12,0)))))))))))))</f>
        <v>0</v>
      </c>
      <c r="M5" s="135" t="s">
        <v>5</v>
      </c>
      <c r="O5" s="252">
        <f>SUMIFS($G$3:$G$47,$L$3:$L$47,1,$F$3:$F$47,"Konto")</f>
        <v>0</v>
      </c>
      <c r="P5" s="252">
        <f>SUMIFS($G$3:$G$47,$L$3:$L$47,2,$F$3:$F$47,"Konto")</f>
        <v>0</v>
      </c>
      <c r="Q5" s="252">
        <f>SUMIFS($G$3:$G$47,$L$3:$L$47,3,$F$3:$F$47,"Konto")</f>
        <v>0</v>
      </c>
      <c r="R5" s="252">
        <f>SUMIFS($G$3:$G$47,$L$3:$L$47,4,$F$3:$F$47,"Konto")</f>
        <v>0</v>
      </c>
      <c r="S5" s="252">
        <f>SUMIFS($G$3:$G$47,$L$3:$L$47,5,$F$3:$F$47,"Konto")</f>
        <v>0</v>
      </c>
      <c r="T5" s="252">
        <f>SUMIFS($G$3:$G$47,$L$3:$L$47,6,$F$3:$F$47,"Konto")</f>
        <v>0</v>
      </c>
      <c r="U5" s="252">
        <f>SUMIFS($G$3:$G$47,$L$3:$L$47,7,$F$3:$F$47,"Konto")</f>
        <v>0</v>
      </c>
      <c r="V5" s="252">
        <f>SUMIFS($G$3:$G$47,$L$3:$L$47,8,$F$3:$F$47,"Konto")</f>
        <v>0</v>
      </c>
      <c r="W5" s="252">
        <f>SUMIFS($G$3:$G$47,$L$3:$L$47,9,$F$3:$F$47,"Konto")</f>
        <v>0</v>
      </c>
      <c r="X5" s="252">
        <f>SUMIFS($G$3:$G$47,$L$3:$L$47,10,$F$3:$F$47,"Konto")</f>
        <v>0</v>
      </c>
      <c r="Y5" s="252">
        <f>SUMIFS($G$3:$G$47,$L$3:$L$47,11,$F$3:$F$47,"Konto")</f>
        <v>0</v>
      </c>
      <c r="Z5" s="252">
        <f>SUMIFS($G$3:$G$47,$L$3:$L$47,12,$F$3:$F$47,"Konto")</f>
        <v>0</v>
      </c>
      <c r="AA5" s="253">
        <f>SUM(O5:Z5)</f>
        <v>0</v>
      </c>
      <c r="AB5" s="254" t="s">
        <v>140</v>
      </c>
    </row>
    <row r="6" spans="1:28" ht="13.35" customHeight="1">
      <c r="A6" s="50" t="s">
        <v>5</v>
      </c>
      <c r="B6" s="141"/>
      <c r="C6" s="80"/>
      <c r="D6" s="93"/>
      <c r="E6" s="226"/>
      <c r="F6" s="89"/>
      <c r="G6" s="81"/>
      <c r="H6" s="82"/>
      <c r="I6" s="83" t="str">
        <f t="shared" si="2"/>
        <v/>
      </c>
      <c r="J6" s="361" t="str">
        <f t="shared" si="3"/>
        <v/>
      </c>
      <c r="K6" s="200">
        <v>3</v>
      </c>
      <c r="L6" s="133">
        <f t="shared" si="4"/>
        <v>0</v>
      </c>
      <c r="M6" s="135" t="s">
        <v>5</v>
      </c>
      <c r="N6" s="190"/>
      <c r="O6" s="252">
        <f>SUMIFS($G$3:$G$47,$L$3:$L$47,1,$F$3:$F$47,"Kreditkarte")</f>
        <v>0</v>
      </c>
      <c r="P6" s="252">
        <f>SUMIFS($G$3:$G$47,$L$3:$L$47,2,$F$3:$F$47,"Kreditkarte")</f>
        <v>0</v>
      </c>
      <c r="Q6" s="252">
        <f>SUMIFS($G$3:$G$47,$L$3:$L$47,3,$F$3:$F$47,"Kreditkarte")</f>
        <v>0</v>
      </c>
      <c r="R6" s="252">
        <f>SUMIFS($G$3:$G$47,$L$3:$L$47,4,$F$3:$F$47,"Kreditkarte")</f>
        <v>0</v>
      </c>
      <c r="S6" s="252">
        <f>SUMIFS($G$3:$G$47,$L$3:$L$47,5,$F$3:$F$47,"Kreditkarte")</f>
        <v>0</v>
      </c>
      <c r="T6" s="252">
        <f>SUMIFS($G$3:$G$47,$L$3:$L$47,6,$F$3:$F$47,"Kreditkarte")</f>
        <v>0</v>
      </c>
      <c r="U6" s="252">
        <f>SUMIFS($G$3:$G$47,$L$3:$L$47,7,$F$3:$F$47,"Kreditkarte")</f>
        <v>0</v>
      </c>
      <c r="V6" s="252">
        <f>SUMIFS($G$3:$G$47,$L$3:$L$47,8,$F$3:$F$47,"Kreditkarte")</f>
        <v>0</v>
      </c>
      <c r="W6" s="252">
        <f>SUMIFS($G$3:$G$47,$L$3:$L$47,9,$F$3:$F$47,"Kreditkarte")</f>
        <v>0</v>
      </c>
      <c r="X6" s="252">
        <f>SUMIFS($G$3:$G$47,$L$3:$L$47,10,$F$3:$F$47,"Kreditkarte")</f>
        <v>0</v>
      </c>
      <c r="Y6" s="252">
        <f>SUMIFS($G$3:$G$47,$L$3:$L$47,11,$F$3:$F$47,"Kreditkarte")</f>
        <v>0</v>
      </c>
      <c r="Z6" s="252">
        <f>SUMIFS($G$3:$G$47,$L$3:$L$47,12,$F$3:$F$47,"Kreditkarte")</f>
        <v>0</v>
      </c>
      <c r="AA6" s="255">
        <f t="shared" ref="AA6:AA8" si="5">SUM(O6:Z6)</f>
        <v>0</v>
      </c>
      <c r="AB6" s="256" t="s">
        <v>142</v>
      </c>
    </row>
    <row r="7" spans="1:28" ht="13.35" customHeight="1">
      <c r="A7" s="50" t="s">
        <v>5</v>
      </c>
      <c r="B7" s="141"/>
      <c r="C7" s="80"/>
      <c r="D7" s="93"/>
      <c r="E7" s="226"/>
      <c r="F7" s="89"/>
      <c r="G7" s="81"/>
      <c r="H7" s="82"/>
      <c r="I7" s="83" t="str">
        <f t="shared" si="2"/>
        <v/>
      </c>
      <c r="J7" s="361" t="str">
        <f t="shared" si="3"/>
        <v/>
      </c>
      <c r="K7" s="200">
        <v>4</v>
      </c>
      <c r="L7" s="133">
        <f t="shared" si="4"/>
        <v>0</v>
      </c>
      <c r="M7" s="135" t="s">
        <v>5</v>
      </c>
      <c r="O7" s="252">
        <f>SUMIFS($G$3:$G$47,$L$3:$L$47,1,$F$3:$F$47,"Geldbeutel")</f>
        <v>0</v>
      </c>
      <c r="P7" s="252">
        <f>SUMIFS($G$3:$G$47,$L$3:$L$47,2,$F$3:$F$47,"Geldbeutel")</f>
        <v>0</v>
      </c>
      <c r="Q7" s="252">
        <f>SUMIFS($G$3:$G$47,$L$3:$L$47,3,$F$3:$F$47,"Geldbeutel")</f>
        <v>0</v>
      </c>
      <c r="R7" s="252">
        <f>SUMIFS($G$3:$G$47,$L$3:$L$47,4,$F$3:$F$47,"Geldbeutel")</f>
        <v>0</v>
      </c>
      <c r="S7" s="252">
        <f>SUMIFS($G$3:$G$47,$L$3:$L$47,5,$F$3:$F$47,"Geldbeutel")</f>
        <v>0</v>
      </c>
      <c r="T7" s="252">
        <f>SUMIFS($G$3:$G$47,$L$3:$L$47,6,$F$3:$F$47,"Geldbeutel")</f>
        <v>0</v>
      </c>
      <c r="U7" s="252">
        <f>SUMIFS($G$3:$G$47,$L$3:$L$47,7,$F$3:$F$47,"Geldbeutel")</f>
        <v>0</v>
      </c>
      <c r="V7" s="252">
        <f>SUMIFS($G$3:$G$47,$L$3:$L$47,8,$F$3:$F$47,"Geldbeutel")</f>
        <v>0</v>
      </c>
      <c r="W7" s="252">
        <f>SUMIFS($G$3:$G$47,$L$3:$L$47,9,$F$3:$F$47,"Geldbeutel")</f>
        <v>0</v>
      </c>
      <c r="X7" s="252">
        <f>SUMIFS($G$3:$G$47,$L$3:$L$47,10,$F$3:$F$47,"Geldbeutel")</f>
        <v>0</v>
      </c>
      <c r="Y7" s="252">
        <f>SUMIFS($G$3:$G$47,$L$3:$L$47,11,$F$3:$F$47,"Geldbeutel")</f>
        <v>0</v>
      </c>
      <c r="Z7" s="252">
        <f>SUMIFS($G$3:$G$47,$L$3:$L$47,12,$F$3:$F$47,"Geldbeutel")</f>
        <v>0</v>
      </c>
      <c r="AA7" s="253">
        <f t="shared" si="5"/>
        <v>0</v>
      </c>
      <c r="AB7" s="254" t="s">
        <v>139</v>
      </c>
    </row>
    <row r="8" spans="1:28" ht="13.35" customHeight="1">
      <c r="A8" s="50" t="s">
        <v>5</v>
      </c>
      <c r="B8" s="141"/>
      <c r="C8" s="80"/>
      <c r="D8" s="93"/>
      <c r="E8" s="226"/>
      <c r="F8" s="89"/>
      <c r="G8" s="81"/>
      <c r="H8" s="82"/>
      <c r="I8" s="83" t="str">
        <f t="shared" si="2"/>
        <v/>
      </c>
      <c r="J8" s="361" t="str">
        <f t="shared" si="3"/>
        <v/>
      </c>
      <c r="K8" s="200">
        <v>5</v>
      </c>
      <c r="L8" s="133">
        <f t="shared" si="4"/>
        <v>0</v>
      </c>
      <c r="M8" s="135" t="s">
        <v>5</v>
      </c>
      <c r="O8" s="252">
        <f>SUMIFS($G$3:$G$47,$L$3:$L$47,1,$F$3:$F$47,"X")</f>
        <v>0</v>
      </c>
      <c r="P8" s="252">
        <f>SUMIFS($G$3:$G$47,$L$3:$L$47,2,$F$3:$F$47,"X")</f>
        <v>0</v>
      </c>
      <c r="Q8" s="252">
        <f>SUMIFS($G$3:$G$47,$L$3:$L$47,3,$F$3:$F$47,"X")</f>
        <v>0</v>
      </c>
      <c r="R8" s="252">
        <f>SUMIFS($G$3:$G$47,$L$3:$L$47,4,$F$3:$F$47,"X")</f>
        <v>0</v>
      </c>
      <c r="S8" s="252">
        <f>SUMIFS($G$3:$G$47,$L$3:$L$47,5,$F$3:$F$47,"X")</f>
        <v>0</v>
      </c>
      <c r="T8" s="252">
        <f>SUMIFS($G$3:$G$47,$L$3:$L$47,6,$F$3:$F$47,"X")</f>
        <v>0</v>
      </c>
      <c r="U8" s="252">
        <f>SUMIFS($G$3:$G$47,$L$3:$L$47,7,$F$3:$F$47,"X")</f>
        <v>0</v>
      </c>
      <c r="V8" s="252">
        <f>SUMIFS($G$3:$G$47,$L$3:$L$47,8,$F$3:$F$47,"X")</f>
        <v>0</v>
      </c>
      <c r="W8" s="252">
        <f>SUMIFS($G$3:$G$47,$L$3:$L$47,9,$F$3:$F$47,"X")</f>
        <v>0</v>
      </c>
      <c r="X8" s="252">
        <f>SUMIFS($G$3:$G$47,$L$3:$L$47,10,$F$3:$F$47,"X")</f>
        <v>0</v>
      </c>
      <c r="Y8" s="252">
        <f>SUMIFS($G$3:$G$47,$L$3:$L$47,11,$F$3:$F$47,"X")</f>
        <v>0</v>
      </c>
      <c r="Z8" s="252">
        <f>SUMIFS($G$3:$G$47,$L$3:$L$47,12,$F$3:$F$47,"X")</f>
        <v>0</v>
      </c>
      <c r="AA8" s="255">
        <f t="shared" si="5"/>
        <v>0</v>
      </c>
      <c r="AB8" s="256" t="s">
        <v>192</v>
      </c>
    </row>
    <row r="9" spans="1:28" ht="13.35" customHeight="1">
      <c r="A9" s="50" t="s">
        <v>5</v>
      </c>
      <c r="B9" s="141"/>
      <c r="C9" s="80"/>
      <c r="D9" s="93"/>
      <c r="E9" s="226"/>
      <c r="F9" s="89"/>
      <c r="G9" s="81"/>
      <c r="H9" s="82"/>
      <c r="I9" s="83" t="str">
        <f t="shared" si="2"/>
        <v/>
      </c>
      <c r="J9" s="361" t="str">
        <f t="shared" si="3"/>
        <v/>
      </c>
      <c r="K9" s="200">
        <v>6</v>
      </c>
      <c r="L9" s="133">
        <f t="shared" si="4"/>
        <v>0</v>
      </c>
      <c r="M9" s="135" t="s">
        <v>5</v>
      </c>
      <c r="N9" s="191">
        <f>IF(OR(AND(AA14&lt;&gt;0,B48="x"),(O14+AA13)&lt;&gt;H48),1,0)</f>
        <v>0</v>
      </c>
      <c r="O9" s="257">
        <f>SUM(O5:O8)</f>
        <v>0</v>
      </c>
      <c r="P9" s="257">
        <f t="shared" ref="P9:Z9" si="6">SUM(P5:P8)</f>
        <v>0</v>
      </c>
      <c r="Q9" s="257">
        <f t="shared" si="6"/>
        <v>0</v>
      </c>
      <c r="R9" s="257">
        <f t="shared" si="6"/>
        <v>0</v>
      </c>
      <c r="S9" s="257">
        <f t="shared" si="6"/>
        <v>0</v>
      </c>
      <c r="T9" s="257">
        <f t="shared" si="6"/>
        <v>0</v>
      </c>
      <c r="U9" s="257">
        <f t="shared" si="6"/>
        <v>0</v>
      </c>
      <c r="V9" s="257">
        <f t="shared" si="6"/>
        <v>0</v>
      </c>
      <c r="W9" s="257">
        <f t="shared" si="6"/>
        <v>0</v>
      </c>
      <c r="X9" s="257">
        <f t="shared" si="6"/>
        <v>0</v>
      </c>
      <c r="Y9" s="257">
        <f t="shared" si="6"/>
        <v>0</v>
      </c>
      <c r="Z9" s="257">
        <f t="shared" si="6"/>
        <v>0</v>
      </c>
      <c r="AA9" s="1211" t="s">
        <v>197</v>
      </c>
      <c r="AB9" s="1212"/>
    </row>
    <row r="10" spans="1:28" ht="13.35" customHeight="1">
      <c r="A10" s="50" t="s">
        <v>5</v>
      </c>
      <c r="B10" s="141"/>
      <c r="C10" s="80"/>
      <c r="D10" s="93"/>
      <c r="E10" s="226"/>
      <c r="F10" s="89"/>
      <c r="G10" s="81"/>
      <c r="H10" s="82"/>
      <c r="I10" s="83" t="str">
        <f t="shared" si="2"/>
        <v/>
      </c>
      <c r="J10" s="361" t="str">
        <f t="shared" si="3"/>
        <v/>
      </c>
      <c r="K10" s="200">
        <v>7</v>
      </c>
      <c r="L10" s="133">
        <f t="shared" si="4"/>
        <v>0</v>
      </c>
      <c r="M10" s="135" t="s">
        <v>5</v>
      </c>
      <c r="N10" s="259">
        <f>IF(O10+AA10&lt;&gt;G48,1,0)</f>
        <v>0</v>
      </c>
      <c r="O10" s="1230">
        <f>SUM(O5:Z8)</f>
        <v>0</v>
      </c>
      <c r="P10" s="1231"/>
      <c r="Q10" s="1231"/>
      <c r="R10" s="1231"/>
      <c r="S10" s="1231"/>
      <c r="T10" s="1231"/>
      <c r="U10" s="1231"/>
      <c r="V10" s="1231"/>
      <c r="W10" s="1231"/>
      <c r="X10" s="1231"/>
      <c r="Y10" s="1231"/>
      <c r="Z10" s="1232"/>
      <c r="AA10" s="292">
        <f>+G48-AA7-AA6-AA5-AA8</f>
        <v>0</v>
      </c>
      <c r="AB10" s="293" t="s">
        <v>205</v>
      </c>
    </row>
    <row r="11" spans="1:28" ht="13.35" customHeight="1">
      <c r="A11" s="50" t="s">
        <v>5</v>
      </c>
      <c r="B11" s="141"/>
      <c r="C11" s="80"/>
      <c r="D11" s="93"/>
      <c r="E11" s="226"/>
      <c r="F11" s="89"/>
      <c r="G11" s="81"/>
      <c r="H11" s="82"/>
      <c r="I11" s="83" t="str">
        <f t="shared" si="2"/>
        <v/>
      </c>
      <c r="J11" s="361" t="str">
        <f t="shared" si="3"/>
        <v/>
      </c>
      <c r="K11" s="200">
        <v>8</v>
      </c>
      <c r="L11" s="133">
        <f t="shared" si="4"/>
        <v>0</v>
      </c>
      <c r="M11" s="135" t="s">
        <v>5</v>
      </c>
      <c r="O11" s="1219" t="str">
        <f>IF(N4&gt;0,"Fehler!","")</f>
        <v/>
      </c>
      <c r="P11" s="1219"/>
      <c r="Q11" s="1219"/>
      <c r="R11" s="1219"/>
      <c r="S11" s="1219"/>
      <c r="T11" s="1219"/>
      <c r="U11" s="1219"/>
      <c r="V11" s="1219"/>
      <c r="W11" s="1219"/>
      <c r="X11" s="1219"/>
      <c r="Y11" s="1219"/>
      <c r="Z11" s="1219"/>
    </row>
    <row r="12" spans="1:28" ht="13.35" customHeight="1">
      <c r="A12" s="50" t="s">
        <v>5</v>
      </c>
      <c r="B12" s="141"/>
      <c r="C12" s="80"/>
      <c r="D12" s="93"/>
      <c r="E12" s="226"/>
      <c r="F12" s="89"/>
      <c r="G12" s="81"/>
      <c r="H12" s="82"/>
      <c r="I12" s="83" t="str">
        <f t="shared" si="2"/>
        <v/>
      </c>
      <c r="J12" s="361" t="str">
        <f t="shared" si="3"/>
        <v/>
      </c>
      <c r="K12" s="200">
        <v>9</v>
      </c>
      <c r="L12" s="133">
        <f t="shared" si="4"/>
        <v>0</v>
      </c>
      <c r="M12" s="135" t="s">
        <v>5</v>
      </c>
      <c r="O12" s="203" t="s">
        <v>36</v>
      </c>
      <c r="P12" s="203" t="s">
        <v>37</v>
      </c>
      <c r="Q12" s="203" t="s">
        <v>38</v>
      </c>
      <c r="R12" s="203" t="s">
        <v>39</v>
      </c>
      <c r="S12" s="203" t="s">
        <v>40</v>
      </c>
      <c r="T12" s="203" t="s">
        <v>41</v>
      </c>
      <c r="U12" s="203" t="s">
        <v>42</v>
      </c>
      <c r="V12" s="203" t="s">
        <v>43</v>
      </c>
      <c r="W12" s="203" t="s">
        <v>44</v>
      </c>
      <c r="X12" s="203" t="s">
        <v>45</v>
      </c>
      <c r="Y12" s="203" t="s">
        <v>46</v>
      </c>
      <c r="Z12" s="203" t="s">
        <v>47</v>
      </c>
      <c r="AA12" s="221">
        <f>IF(O14+AA13&lt;&gt;H48,1,0)</f>
        <v>0</v>
      </c>
    </row>
    <row r="13" spans="1:28" ht="13.35" customHeight="1">
      <c r="A13" s="50" t="s">
        <v>5</v>
      </c>
      <c r="B13" s="141"/>
      <c r="C13" s="80"/>
      <c r="D13" s="93"/>
      <c r="E13" s="226"/>
      <c r="F13" s="89"/>
      <c r="G13" s="81"/>
      <c r="H13" s="82"/>
      <c r="I13" s="83" t="str">
        <f t="shared" si="2"/>
        <v/>
      </c>
      <c r="J13" s="361" t="str">
        <f t="shared" si="3"/>
        <v/>
      </c>
      <c r="K13" s="200">
        <v>10</v>
      </c>
      <c r="L13" s="133">
        <f t="shared" si="4"/>
        <v>0</v>
      </c>
      <c r="M13" s="135" t="s">
        <v>5</v>
      </c>
      <c r="O13" s="187">
        <f>SUMIF($L$3:$L$47,1,$I$3:$I$47)</f>
        <v>0</v>
      </c>
      <c r="P13" s="187">
        <f>SUMIF($L$3:$L$47,2,$I$3:$I$47)</f>
        <v>0</v>
      </c>
      <c r="Q13" s="187">
        <f>SUMIF($L$3:$L$47,3,$I$3:$I$47)</f>
        <v>0</v>
      </c>
      <c r="R13" s="187">
        <f>SUMIF($L$3:$L$47,4,$I$3:$I$47)</f>
        <v>0</v>
      </c>
      <c r="S13" s="187">
        <f>SUMIF($L$3:$L$47,5,$I$3:$I$47)</f>
        <v>0</v>
      </c>
      <c r="T13" s="187">
        <f>SUMIF($L$3:$L$47,6,$I$3:$I$47)</f>
        <v>0</v>
      </c>
      <c r="U13" s="187">
        <f>SUMIF($L$3:$L$47,7,$I$3:$I$47)</f>
        <v>0</v>
      </c>
      <c r="V13" s="187">
        <f>SUMIF($L$3:$L$47,8,$I$3:$I$47)</f>
        <v>0</v>
      </c>
      <c r="W13" s="187">
        <f>SUMIF($L$3:$L$47,9,$I$3:$I$47)</f>
        <v>0</v>
      </c>
      <c r="X13" s="187">
        <f>SUMIF($L$3:$L$47,10,$I$3:$I$47)</f>
        <v>0</v>
      </c>
      <c r="Y13" s="187">
        <f>SUMIF($L$3:$L$47,11,$I$3:$I$47)</f>
        <v>0</v>
      </c>
      <c r="Z13" s="187">
        <f>SUMIF($L$3:$L$47,12,$I$3:$I$47)</f>
        <v>0</v>
      </c>
      <c r="AA13" s="1220">
        <f>SUMIF($L$3:$L$47,0,$I$3:$I$47)</f>
        <v>0</v>
      </c>
      <c r="AB13" s="1221"/>
    </row>
    <row r="14" spans="1:28" ht="13.35" customHeight="1">
      <c r="A14" s="50" t="s">
        <v>5</v>
      </c>
      <c r="B14" s="141"/>
      <c r="C14" s="80"/>
      <c r="D14" s="93"/>
      <c r="E14" s="226"/>
      <c r="F14" s="89"/>
      <c r="G14" s="81"/>
      <c r="H14" s="82"/>
      <c r="I14" s="83" t="str">
        <f t="shared" si="2"/>
        <v/>
      </c>
      <c r="J14" s="361" t="str">
        <f t="shared" si="3"/>
        <v/>
      </c>
      <c r="K14" s="200">
        <v>11</v>
      </c>
      <c r="L14" s="133">
        <f t="shared" si="4"/>
        <v>0</v>
      </c>
      <c r="M14" s="135" t="s">
        <v>5</v>
      </c>
      <c r="O14" s="1299">
        <f>SUM(O13:Z13)</f>
        <v>0</v>
      </c>
      <c r="P14" s="1300"/>
      <c r="Q14" s="1300"/>
      <c r="R14" s="1300"/>
      <c r="S14" s="1300"/>
      <c r="T14" s="1300"/>
      <c r="U14" s="1300"/>
      <c r="V14" s="1300"/>
      <c r="W14" s="1300"/>
      <c r="X14" s="1300"/>
      <c r="Y14" s="1300"/>
      <c r="Z14" s="1301"/>
      <c r="AA14" s="1222">
        <f>SUM(O13:Z13)+AA13</f>
        <v>0</v>
      </c>
      <c r="AB14" s="1223"/>
    </row>
    <row r="15" spans="1:28" ht="13.35" customHeight="1">
      <c r="A15" s="50" t="s">
        <v>5</v>
      </c>
      <c r="B15" s="141"/>
      <c r="C15" s="260"/>
      <c r="D15" s="93"/>
      <c r="E15" s="226"/>
      <c r="F15" s="89"/>
      <c r="G15" s="81"/>
      <c r="H15" s="82"/>
      <c r="I15" s="83" t="str">
        <f t="shared" si="2"/>
        <v/>
      </c>
      <c r="J15" s="361" t="str">
        <f t="shared" si="3"/>
        <v/>
      </c>
      <c r="K15" s="200">
        <v>12</v>
      </c>
      <c r="L15" s="133">
        <f t="shared" si="4"/>
        <v>0</v>
      </c>
      <c r="M15" s="135" t="s">
        <v>5</v>
      </c>
      <c r="O15" s="244"/>
      <c r="P15" s="244"/>
      <c r="Q15" s="244"/>
      <c r="R15" s="244"/>
      <c r="S15" s="244"/>
      <c r="T15" s="244"/>
      <c r="U15" s="244"/>
      <c r="V15" s="244"/>
      <c r="W15" s="244"/>
      <c r="X15" s="244"/>
      <c r="Y15" s="244"/>
      <c r="Z15" s="244"/>
      <c r="AA15" s="244"/>
      <c r="AB15" s="244"/>
    </row>
    <row r="16" spans="1:28" ht="13.35" customHeight="1">
      <c r="A16" s="50" t="s">
        <v>5</v>
      </c>
      <c r="B16" s="141"/>
      <c r="C16" s="80"/>
      <c r="D16" s="93"/>
      <c r="E16" s="226"/>
      <c r="F16" s="89"/>
      <c r="G16" s="81"/>
      <c r="H16" s="82"/>
      <c r="I16" s="83" t="str">
        <f t="shared" si="2"/>
        <v/>
      </c>
      <c r="J16" s="361" t="str">
        <f t="shared" si="3"/>
        <v/>
      </c>
      <c r="K16" s="200">
        <v>13</v>
      </c>
      <c r="L16" s="133">
        <f t="shared" si="4"/>
        <v>0</v>
      </c>
      <c r="M16" s="135" t="s">
        <v>5</v>
      </c>
      <c r="O16" s="244"/>
      <c r="P16" s="244"/>
      <c r="Q16" s="244"/>
      <c r="R16" s="244"/>
      <c r="S16" s="244"/>
      <c r="T16" s="244"/>
      <c r="U16" s="244"/>
      <c r="V16" s="244"/>
      <c r="W16" s="244"/>
      <c r="X16" s="244"/>
      <c r="Y16" s="244"/>
      <c r="Z16" s="244"/>
      <c r="AA16" s="244"/>
      <c r="AB16" s="244"/>
    </row>
    <row r="17" spans="1:28" ht="13.35" customHeight="1">
      <c r="A17" s="50" t="s">
        <v>5</v>
      </c>
      <c r="B17" s="141"/>
      <c r="C17" s="80"/>
      <c r="D17" s="93"/>
      <c r="E17" s="226"/>
      <c r="F17" s="89"/>
      <c r="G17" s="81"/>
      <c r="H17" s="82"/>
      <c r="I17" s="83" t="str">
        <f t="shared" si="2"/>
        <v/>
      </c>
      <c r="J17" s="361" t="str">
        <f t="shared" si="3"/>
        <v/>
      </c>
      <c r="K17" s="200">
        <v>14</v>
      </c>
      <c r="L17" s="133">
        <f t="shared" si="4"/>
        <v>0</v>
      </c>
      <c r="M17" s="135" t="s">
        <v>5</v>
      </c>
      <c r="O17" s="244"/>
      <c r="P17" s="244"/>
      <c r="Q17" s="244"/>
      <c r="R17" s="244"/>
      <c r="S17" s="244"/>
      <c r="T17" s="244"/>
      <c r="U17" s="244"/>
      <c r="V17" s="244"/>
      <c r="W17" s="244"/>
      <c r="X17" s="244"/>
      <c r="Y17" s="244"/>
      <c r="Z17" s="244"/>
      <c r="AA17" s="244"/>
      <c r="AB17" s="244"/>
    </row>
    <row r="18" spans="1:28" ht="13.35" customHeight="1">
      <c r="A18" s="50" t="s">
        <v>5</v>
      </c>
      <c r="B18" s="141"/>
      <c r="C18" s="80"/>
      <c r="D18" s="93"/>
      <c r="E18" s="226"/>
      <c r="F18" s="89"/>
      <c r="G18" s="81"/>
      <c r="H18" s="82"/>
      <c r="I18" s="83" t="str">
        <f t="shared" si="2"/>
        <v/>
      </c>
      <c r="J18" s="361" t="str">
        <f t="shared" si="3"/>
        <v/>
      </c>
      <c r="K18" s="200">
        <v>15</v>
      </c>
      <c r="L18" s="133">
        <f t="shared" si="4"/>
        <v>0</v>
      </c>
      <c r="M18" s="135" t="s">
        <v>5</v>
      </c>
      <c r="O18" s="244"/>
      <c r="P18" s="244"/>
      <c r="Q18" s="244"/>
      <c r="R18" s="244"/>
      <c r="S18" s="244"/>
      <c r="T18" s="244"/>
      <c r="U18" s="244"/>
      <c r="V18" s="244"/>
      <c r="W18" s="244"/>
      <c r="X18" s="244"/>
      <c r="Y18" s="244"/>
      <c r="Z18" s="244"/>
      <c r="AA18" s="244"/>
      <c r="AB18" s="244"/>
    </row>
    <row r="19" spans="1:28" ht="13.35" customHeight="1">
      <c r="A19" s="50" t="s">
        <v>5</v>
      </c>
      <c r="B19" s="141"/>
      <c r="C19" s="80"/>
      <c r="D19" s="93"/>
      <c r="E19" s="226"/>
      <c r="F19" s="89"/>
      <c r="G19" s="81"/>
      <c r="H19" s="82"/>
      <c r="I19" s="83" t="str">
        <f t="shared" si="2"/>
        <v/>
      </c>
      <c r="J19" s="361" t="str">
        <f t="shared" si="3"/>
        <v/>
      </c>
      <c r="K19" s="200">
        <v>16</v>
      </c>
      <c r="L19" s="133">
        <f t="shared" si="4"/>
        <v>0</v>
      </c>
      <c r="M19" s="135" t="s">
        <v>5</v>
      </c>
      <c r="O19" s="244"/>
      <c r="P19" s="244"/>
      <c r="Q19" s="244"/>
      <c r="R19" s="244"/>
      <c r="S19" s="244"/>
      <c r="T19" s="244"/>
      <c r="U19" s="244"/>
      <c r="V19" s="244"/>
      <c r="W19" s="244"/>
      <c r="X19" s="244"/>
      <c r="Y19" s="244"/>
      <c r="Z19" s="244"/>
      <c r="AA19" s="244"/>
      <c r="AB19" s="244"/>
    </row>
    <row r="20" spans="1:28" ht="13.35" customHeight="1">
      <c r="A20" s="50" t="s">
        <v>5</v>
      </c>
      <c r="B20" s="141"/>
      <c r="C20" s="80"/>
      <c r="D20" s="93"/>
      <c r="E20" s="226"/>
      <c r="F20" s="89"/>
      <c r="G20" s="81"/>
      <c r="H20" s="82"/>
      <c r="I20" s="83" t="str">
        <f t="shared" si="2"/>
        <v/>
      </c>
      <c r="J20" s="361" t="str">
        <f t="shared" si="3"/>
        <v/>
      </c>
      <c r="K20" s="200">
        <v>17</v>
      </c>
      <c r="L20" s="133">
        <f t="shared" si="4"/>
        <v>0</v>
      </c>
      <c r="M20" s="135" t="s">
        <v>5</v>
      </c>
      <c r="O20" s="244"/>
      <c r="P20" s="244"/>
      <c r="Q20" s="244"/>
      <c r="R20" s="244"/>
      <c r="S20" s="244"/>
      <c r="T20" s="244"/>
      <c r="U20" s="244"/>
      <c r="V20" s="244"/>
      <c r="W20" s="244"/>
      <c r="X20" s="244"/>
      <c r="Y20" s="244"/>
      <c r="Z20" s="244"/>
      <c r="AA20" s="244"/>
      <c r="AB20" s="244"/>
    </row>
    <row r="21" spans="1:28" ht="13.35" customHeight="1">
      <c r="A21" s="50" t="s">
        <v>5</v>
      </c>
      <c r="B21" s="141"/>
      <c r="C21" s="80"/>
      <c r="D21" s="93"/>
      <c r="E21" s="226"/>
      <c r="F21" s="89"/>
      <c r="G21" s="81"/>
      <c r="H21" s="82"/>
      <c r="I21" s="83" t="str">
        <f t="shared" si="2"/>
        <v/>
      </c>
      <c r="J21" s="361" t="str">
        <f t="shared" si="3"/>
        <v/>
      </c>
      <c r="K21" s="200">
        <v>18</v>
      </c>
      <c r="L21" s="133">
        <f t="shared" si="4"/>
        <v>0</v>
      </c>
      <c r="M21" s="135" t="s">
        <v>5</v>
      </c>
      <c r="O21" s="244"/>
      <c r="P21" s="244"/>
      <c r="Q21" s="244"/>
      <c r="R21" s="244"/>
      <c r="S21" s="244"/>
      <c r="T21" s="244"/>
      <c r="U21" s="244"/>
      <c r="V21" s="244"/>
      <c r="W21" s="244"/>
      <c r="X21" s="244"/>
      <c r="Y21" s="244"/>
      <c r="Z21" s="244"/>
      <c r="AA21" s="244"/>
      <c r="AB21" s="244"/>
    </row>
    <row r="22" spans="1:28" ht="13.35" customHeight="1">
      <c r="A22" s="50" t="s">
        <v>5</v>
      </c>
      <c r="B22" s="141"/>
      <c r="C22" s="80"/>
      <c r="D22" s="93"/>
      <c r="E22" s="226"/>
      <c r="F22" s="89"/>
      <c r="G22" s="81"/>
      <c r="H22" s="82"/>
      <c r="I22" s="83" t="str">
        <f t="shared" si="2"/>
        <v/>
      </c>
      <c r="J22" s="361" t="str">
        <f t="shared" si="3"/>
        <v/>
      </c>
      <c r="K22" s="200">
        <v>19</v>
      </c>
      <c r="L22" s="133">
        <f t="shared" si="4"/>
        <v>0</v>
      </c>
      <c r="M22" s="135" t="s">
        <v>5</v>
      </c>
      <c r="O22" s="244"/>
      <c r="P22" s="244"/>
      <c r="Q22" s="244"/>
      <c r="R22" s="244"/>
      <c r="S22" s="244"/>
      <c r="T22" s="244"/>
      <c r="U22" s="244"/>
      <c r="V22" s="244"/>
      <c r="W22" s="244"/>
      <c r="X22" s="244"/>
      <c r="Y22" s="244"/>
      <c r="Z22" s="244"/>
      <c r="AA22" s="244"/>
      <c r="AB22" s="244"/>
    </row>
    <row r="23" spans="1:28" ht="13.35" customHeight="1">
      <c r="A23" s="50" t="s">
        <v>5</v>
      </c>
      <c r="B23" s="141"/>
      <c r="C23" s="80"/>
      <c r="D23" s="94"/>
      <c r="E23" s="226"/>
      <c r="F23" s="89"/>
      <c r="G23" s="81"/>
      <c r="H23" s="82"/>
      <c r="I23" s="83" t="str">
        <f t="shared" si="2"/>
        <v/>
      </c>
      <c r="J23" s="361" t="str">
        <f t="shared" si="3"/>
        <v/>
      </c>
      <c r="K23" s="200">
        <v>20</v>
      </c>
      <c r="L23" s="133">
        <f t="shared" si="4"/>
        <v>0</v>
      </c>
      <c r="M23" s="135" t="s">
        <v>5</v>
      </c>
      <c r="O23" s="244"/>
      <c r="P23" s="244"/>
      <c r="Q23" s="244"/>
      <c r="R23" s="244"/>
      <c r="S23" s="244"/>
      <c r="T23" s="244"/>
      <c r="U23" s="244"/>
      <c r="V23" s="244"/>
      <c r="W23" s="244"/>
      <c r="X23" s="244"/>
      <c r="Y23" s="244"/>
      <c r="Z23" s="244"/>
      <c r="AA23" s="244"/>
      <c r="AB23" s="244"/>
    </row>
    <row r="24" spans="1:28" ht="13.35" customHeight="1">
      <c r="A24" s="50" t="s">
        <v>5</v>
      </c>
      <c r="B24" s="141"/>
      <c r="C24" s="80"/>
      <c r="D24" s="93"/>
      <c r="E24" s="226"/>
      <c r="F24" s="89"/>
      <c r="G24" s="81"/>
      <c r="H24" s="82"/>
      <c r="I24" s="83" t="str">
        <f t="shared" si="2"/>
        <v/>
      </c>
      <c r="J24" s="361" t="str">
        <f t="shared" si="3"/>
        <v/>
      </c>
      <c r="K24" s="200">
        <v>21</v>
      </c>
      <c r="L24" s="133">
        <f t="shared" si="4"/>
        <v>0</v>
      </c>
      <c r="M24" s="135" t="s">
        <v>5</v>
      </c>
      <c r="O24" s="244"/>
      <c r="P24" s="244"/>
      <c r="Q24" s="244"/>
      <c r="R24" s="244"/>
      <c r="S24" s="244"/>
      <c r="T24" s="244"/>
      <c r="U24" s="244"/>
      <c r="V24" s="244"/>
      <c r="W24" s="244"/>
      <c r="X24" s="244"/>
      <c r="Y24" s="244"/>
      <c r="Z24" s="244"/>
      <c r="AA24" s="244"/>
      <c r="AB24" s="244"/>
    </row>
    <row r="25" spans="1:28" ht="13.35" customHeight="1">
      <c r="A25" s="50" t="s">
        <v>5</v>
      </c>
      <c r="B25" s="141"/>
      <c r="C25" s="80"/>
      <c r="D25" s="93"/>
      <c r="E25" s="226"/>
      <c r="F25" s="89"/>
      <c r="G25" s="81"/>
      <c r="H25" s="82"/>
      <c r="I25" s="83" t="str">
        <f t="shared" si="2"/>
        <v/>
      </c>
      <c r="J25" s="361" t="str">
        <f t="shared" si="3"/>
        <v/>
      </c>
      <c r="K25" s="200">
        <v>22</v>
      </c>
      <c r="L25" s="133">
        <f t="shared" si="4"/>
        <v>0</v>
      </c>
      <c r="M25" s="135" t="s">
        <v>5</v>
      </c>
      <c r="O25" s="244"/>
      <c r="P25" s="244"/>
      <c r="Q25" s="244"/>
      <c r="R25" s="244"/>
      <c r="S25" s="244"/>
      <c r="T25" s="244"/>
      <c r="U25" s="244"/>
      <c r="V25" s="244"/>
      <c r="W25" s="244"/>
      <c r="X25" s="244"/>
      <c r="Y25" s="244"/>
      <c r="Z25" s="244"/>
      <c r="AA25" s="244"/>
      <c r="AB25" s="244"/>
    </row>
    <row r="26" spans="1:28" ht="13.35" customHeight="1">
      <c r="A26" s="50" t="s">
        <v>5</v>
      </c>
      <c r="B26" s="141"/>
      <c r="C26" s="80"/>
      <c r="D26" s="93"/>
      <c r="E26" s="226"/>
      <c r="F26" s="89"/>
      <c r="G26" s="81"/>
      <c r="H26" s="82"/>
      <c r="I26" s="83" t="str">
        <f t="shared" si="2"/>
        <v/>
      </c>
      <c r="J26" s="361" t="str">
        <f t="shared" si="3"/>
        <v/>
      </c>
      <c r="K26" s="200">
        <v>23</v>
      </c>
      <c r="L26" s="133">
        <f t="shared" si="4"/>
        <v>0</v>
      </c>
      <c r="M26" s="135" t="s">
        <v>5</v>
      </c>
      <c r="O26" s="244"/>
      <c r="P26" s="244"/>
      <c r="Q26" s="244"/>
      <c r="R26" s="244"/>
      <c r="S26" s="244"/>
      <c r="T26" s="244"/>
      <c r="U26" s="244"/>
      <c r="V26" s="244"/>
      <c r="W26" s="244"/>
      <c r="X26" s="244"/>
      <c r="Y26" s="244"/>
      <c r="Z26" s="244"/>
      <c r="AA26" s="244"/>
      <c r="AB26" s="244"/>
    </row>
    <row r="27" spans="1:28" ht="13.35" customHeight="1">
      <c r="A27" s="50" t="s">
        <v>5</v>
      </c>
      <c r="B27" s="141"/>
      <c r="C27" s="80"/>
      <c r="D27" s="93"/>
      <c r="E27" s="226"/>
      <c r="F27" s="89"/>
      <c r="G27" s="81"/>
      <c r="H27" s="82"/>
      <c r="I27" s="83" t="str">
        <f t="shared" si="2"/>
        <v/>
      </c>
      <c r="J27" s="361" t="str">
        <f t="shared" si="3"/>
        <v/>
      </c>
      <c r="K27" s="200">
        <v>24</v>
      </c>
      <c r="L27" s="133">
        <f t="shared" si="4"/>
        <v>0</v>
      </c>
      <c r="M27" s="135" t="s">
        <v>5</v>
      </c>
      <c r="O27" s="244"/>
      <c r="P27" s="244"/>
      <c r="Q27" s="244"/>
      <c r="R27" s="244"/>
      <c r="S27" s="244"/>
      <c r="T27" s="244"/>
      <c r="U27" s="244"/>
      <c r="V27" s="244"/>
      <c r="W27" s="244"/>
      <c r="X27" s="244"/>
      <c r="Y27" s="244"/>
      <c r="Z27" s="244"/>
      <c r="AA27" s="244"/>
      <c r="AB27" s="244"/>
    </row>
    <row r="28" spans="1:28" ht="13.35" customHeight="1">
      <c r="A28" s="50" t="s">
        <v>5</v>
      </c>
      <c r="B28" s="141"/>
      <c r="C28" s="80"/>
      <c r="D28" s="93"/>
      <c r="E28" s="226"/>
      <c r="F28" s="89"/>
      <c r="G28" s="81"/>
      <c r="H28" s="82"/>
      <c r="I28" s="83" t="str">
        <f t="shared" si="2"/>
        <v/>
      </c>
      <c r="J28" s="361" t="str">
        <f t="shared" si="3"/>
        <v/>
      </c>
      <c r="K28" s="200">
        <v>25</v>
      </c>
      <c r="L28" s="133">
        <f t="shared" si="4"/>
        <v>0</v>
      </c>
      <c r="M28" s="135" t="s">
        <v>5</v>
      </c>
      <c r="O28" s="244"/>
      <c r="P28" s="244"/>
      <c r="Q28" s="244"/>
      <c r="R28" s="244"/>
      <c r="S28" s="244"/>
      <c r="T28" s="244"/>
      <c r="U28" s="244"/>
      <c r="V28" s="244"/>
      <c r="W28" s="244"/>
      <c r="X28" s="244"/>
      <c r="Y28" s="244"/>
      <c r="Z28" s="244"/>
      <c r="AA28" s="244"/>
      <c r="AB28" s="244"/>
    </row>
    <row r="29" spans="1:28" ht="13.35" customHeight="1">
      <c r="A29" s="50" t="s">
        <v>5</v>
      </c>
      <c r="B29" s="141"/>
      <c r="C29" s="80"/>
      <c r="D29" s="93"/>
      <c r="E29" s="226"/>
      <c r="F29" s="89"/>
      <c r="G29" s="81"/>
      <c r="H29" s="82"/>
      <c r="I29" s="83" t="str">
        <f t="shared" si="2"/>
        <v/>
      </c>
      <c r="J29" s="361" t="str">
        <f t="shared" si="3"/>
        <v/>
      </c>
      <c r="K29" s="200">
        <v>26</v>
      </c>
      <c r="L29" s="133">
        <f t="shared" si="4"/>
        <v>0</v>
      </c>
      <c r="M29" s="135" t="s">
        <v>5</v>
      </c>
      <c r="O29" s="244"/>
      <c r="P29" s="244"/>
      <c r="Q29" s="244"/>
      <c r="R29" s="244"/>
      <c r="S29" s="244"/>
      <c r="T29" s="244"/>
      <c r="U29" s="244"/>
      <c r="V29" s="244"/>
      <c r="W29" s="244"/>
      <c r="X29" s="244"/>
      <c r="Y29" s="244"/>
      <c r="Z29" s="244"/>
      <c r="AA29" s="244"/>
      <c r="AB29" s="244"/>
    </row>
    <row r="30" spans="1:28" ht="13.35" customHeight="1">
      <c r="A30" s="50" t="s">
        <v>5</v>
      </c>
      <c r="B30" s="141"/>
      <c r="C30" s="80"/>
      <c r="D30" s="93"/>
      <c r="E30" s="226"/>
      <c r="F30" s="89"/>
      <c r="G30" s="81"/>
      <c r="H30" s="82"/>
      <c r="I30" s="83" t="str">
        <f t="shared" si="2"/>
        <v/>
      </c>
      <c r="J30" s="361" t="str">
        <f t="shared" si="3"/>
        <v/>
      </c>
      <c r="K30" s="200">
        <v>27</v>
      </c>
      <c r="L30" s="133">
        <f t="shared" si="4"/>
        <v>0</v>
      </c>
      <c r="M30" s="135" t="s">
        <v>5</v>
      </c>
      <c r="O30" s="244"/>
      <c r="P30" s="244"/>
      <c r="Q30" s="244"/>
      <c r="R30" s="244"/>
      <c r="S30" s="244"/>
      <c r="T30" s="244"/>
      <c r="U30" s="244"/>
      <c r="V30" s="244"/>
      <c r="W30" s="244"/>
      <c r="X30" s="244"/>
      <c r="Y30" s="244"/>
      <c r="Z30" s="244"/>
      <c r="AA30" s="244"/>
      <c r="AB30" s="244"/>
    </row>
    <row r="31" spans="1:28" ht="13.35" customHeight="1">
      <c r="A31" s="50" t="s">
        <v>5</v>
      </c>
      <c r="B31" s="141"/>
      <c r="C31" s="80"/>
      <c r="D31" s="93"/>
      <c r="E31" s="226"/>
      <c r="F31" s="89"/>
      <c r="G31" s="81"/>
      <c r="H31" s="82"/>
      <c r="I31" s="83" t="str">
        <f t="shared" si="2"/>
        <v/>
      </c>
      <c r="J31" s="361" t="str">
        <f t="shared" si="3"/>
        <v/>
      </c>
      <c r="K31" s="200">
        <v>28</v>
      </c>
      <c r="L31" s="133">
        <f t="shared" si="4"/>
        <v>0</v>
      </c>
      <c r="M31" s="135" t="s">
        <v>5</v>
      </c>
      <c r="O31" s="244"/>
      <c r="P31" s="244"/>
      <c r="Q31" s="244"/>
      <c r="R31" s="244"/>
      <c r="S31" s="244"/>
      <c r="T31" s="244"/>
      <c r="U31" s="244"/>
      <c r="V31" s="244"/>
      <c r="W31" s="244"/>
      <c r="X31" s="244"/>
      <c r="Y31" s="244"/>
      <c r="Z31" s="244"/>
      <c r="AA31" s="244"/>
      <c r="AB31" s="244"/>
    </row>
    <row r="32" spans="1:28" ht="13.35" customHeight="1">
      <c r="A32" s="50" t="s">
        <v>5</v>
      </c>
      <c r="B32" s="141"/>
      <c r="C32" s="80"/>
      <c r="D32" s="93"/>
      <c r="E32" s="226"/>
      <c r="F32" s="89"/>
      <c r="G32" s="81"/>
      <c r="H32" s="82"/>
      <c r="I32" s="83" t="str">
        <f t="shared" si="2"/>
        <v/>
      </c>
      <c r="J32" s="361" t="str">
        <f t="shared" si="3"/>
        <v/>
      </c>
      <c r="K32" s="200">
        <v>29</v>
      </c>
      <c r="L32" s="133">
        <f t="shared" si="4"/>
        <v>0</v>
      </c>
      <c r="M32" s="135" t="s">
        <v>5</v>
      </c>
      <c r="O32" s="244"/>
      <c r="P32" s="244"/>
      <c r="Q32" s="244"/>
      <c r="R32" s="244"/>
      <c r="S32" s="244"/>
      <c r="T32" s="244"/>
      <c r="U32" s="244"/>
      <c r="V32" s="244"/>
      <c r="W32" s="244"/>
      <c r="X32" s="244"/>
      <c r="Y32" s="244"/>
      <c r="Z32" s="244"/>
      <c r="AA32" s="244"/>
      <c r="AB32" s="244"/>
    </row>
    <row r="33" spans="1:28" ht="13.35" customHeight="1">
      <c r="A33" s="50" t="s">
        <v>5</v>
      </c>
      <c r="B33" s="141"/>
      <c r="C33" s="80"/>
      <c r="D33" s="93"/>
      <c r="E33" s="226"/>
      <c r="F33" s="89"/>
      <c r="G33" s="81"/>
      <c r="H33" s="82"/>
      <c r="I33" s="83" t="str">
        <f t="shared" si="2"/>
        <v/>
      </c>
      <c r="J33" s="361" t="str">
        <f t="shared" si="3"/>
        <v/>
      </c>
      <c r="K33" s="200">
        <v>30</v>
      </c>
      <c r="L33" s="133">
        <f t="shared" si="4"/>
        <v>0</v>
      </c>
      <c r="M33" s="135" t="s">
        <v>5</v>
      </c>
      <c r="O33" s="244"/>
      <c r="P33" s="244"/>
      <c r="Q33" s="244"/>
      <c r="R33" s="244"/>
      <c r="S33" s="244"/>
      <c r="T33" s="244"/>
      <c r="U33" s="244"/>
      <c r="V33" s="244"/>
      <c r="W33" s="244"/>
      <c r="X33" s="244"/>
      <c r="Y33" s="244"/>
      <c r="Z33" s="244"/>
      <c r="AA33" s="244"/>
      <c r="AB33" s="244"/>
    </row>
    <row r="34" spans="1:28" ht="13.35" customHeight="1">
      <c r="A34" s="50" t="s">
        <v>5</v>
      </c>
      <c r="B34" s="141"/>
      <c r="C34" s="80"/>
      <c r="D34" s="93"/>
      <c r="E34" s="226"/>
      <c r="F34" s="89"/>
      <c r="G34" s="81"/>
      <c r="H34" s="82"/>
      <c r="I34" s="83" t="str">
        <f t="shared" si="2"/>
        <v/>
      </c>
      <c r="J34" s="361" t="str">
        <f t="shared" si="3"/>
        <v/>
      </c>
      <c r="K34" s="200">
        <v>31</v>
      </c>
      <c r="L34" s="133">
        <f t="shared" si="4"/>
        <v>0</v>
      </c>
      <c r="M34" s="135" t="s">
        <v>5</v>
      </c>
      <c r="O34" s="244"/>
      <c r="P34" s="244"/>
      <c r="Q34" s="244"/>
      <c r="R34" s="244"/>
      <c r="S34" s="244"/>
      <c r="T34" s="244"/>
      <c r="U34" s="244"/>
      <c r="V34" s="244"/>
      <c r="W34" s="244"/>
      <c r="X34" s="244"/>
      <c r="Y34" s="244"/>
      <c r="Z34" s="244"/>
      <c r="AA34" s="244"/>
      <c r="AB34" s="244"/>
    </row>
    <row r="35" spans="1:28" ht="13.35" customHeight="1">
      <c r="A35" s="50" t="s">
        <v>5</v>
      </c>
      <c r="B35" s="141"/>
      <c r="C35" s="80"/>
      <c r="D35" s="93"/>
      <c r="E35" s="226"/>
      <c r="F35" s="89"/>
      <c r="G35" s="81"/>
      <c r="H35" s="82"/>
      <c r="I35" s="83" t="str">
        <f t="shared" si="2"/>
        <v/>
      </c>
      <c r="J35" s="361" t="str">
        <f t="shared" si="3"/>
        <v/>
      </c>
      <c r="K35" s="200">
        <v>32</v>
      </c>
      <c r="L35" s="133">
        <f t="shared" si="4"/>
        <v>0</v>
      </c>
      <c r="M35" s="135" t="s">
        <v>5</v>
      </c>
      <c r="O35" s="244"/>
      <c r="P35" s="244"/>
      <c r="Q35" s="244"/>
      <c r="R35" s="244"/>
      <c r="S35" s="244"/>
      <c r="T35" s="244"/>
      <c r="U35" s="244"/>
      <c r="V35" s="244"/>
      <c r="W35" s="244"/>
      <c r="X35" s="244"/>
      <c r="Y35" s="244"/>
      <c r="Z35" s="244"/>
      <c r="AA35" s="244"/>
      <c r="AB35" s="244"/>
    </row>
    <row r="36" spans="1:28" ht="13.35" customHeight="1">
      <c r="A36" s="50" t="s">
        <v>5</v>
      </c>
      <c r="B36" s="141"/>
      <c r="C36" s="80"/>
      <c r="D36" s="93"/>
      <c r="E36" s="226"/>
      <c r="F36" s="89"/>
      <c r="G36" s="81"/>
      <c r="H36" s="82"/>
      <c r="I36" s="83" t="str">
        <f t="shared" si="2"/>
        <v/>
      </c>
      <c r="J36" s="361" t="str">
        <f t="shared" si="3"/>
        <v/>
      </c>
      <c r="K36" s="200">
        <v>33</v>
      </c>
      <c r="L36" s="133">
        <f t="shared" si="4"/>
        <v>0</v>
      </c>
      <c r="M36" s="135" t="s">
        <v>5</v>
      </c>
      <c r="O36" s="244"/>
      <c r="P36" s="244"/>
      <c r="Q36" s="244"/>
      <c r="R36" s="244"/>
      <c r="S36" s="244"/>
      <c r="T36" s="244"/>
      <c r="U36" s="244"/>
      <c r="V36" s="244"/>
      <c r="W36" s="244"/>
      <c r="X36" s="244"/>
      <c r="Y36" s="244"/>
      <c r="Z36" s="244"/>
      <c r="AA36" s="244"/>
      <c r="AB36" s="244"/>
    </row>
    <row r="37" spans="1:28" ht="13.35" customHeight="1">
      <c r="A37" s="50" t="s">
        <v>5</v>
      </c>
      <c r="B37" s="141"/>
      <c r="C37" s="80"/>
      <c r="D37" s="93"/>
      <c r="E37" s="226"/>
      <c r="F37" s="89"/>
      <c r="G37" s="81"/>
      <c r="H37" s="82"/>
      <c r="I37" s="83" t="str">
        <f t="shared" si="2"/>
        <v/>
      </c>
      <c r="J37" s="361" t="str">
        <f t="shared" si="3"/>
        <v/>
      </c>
      <c r="K37" s="200">
        <v>34</v>
      </c>
      <c r="L37" s="133">
        <f t="shared" si="4"/>
        <v>0</v>
      </c>
      <c r="M37" s="135" t="s">
        <v>5</v>
      </c>
      <c r="O37" s="244"/>
      <c r="P37" s="244"/>
      <c r="Q37" s="244"/>
      <c r="R37" s="244"/>
      <c r="S37" s="244"/>
      <c r="T37" s="244"/>
      <c r="U37" s="244"/>
      <c r="V37" s="244"/>
      <c r="W37" s="244"/>
      <c r="X37" s="244"/>
      <c r="Y37" s="244"/>
      <c r="Z37" s="244"/>
      <c r="AA37" s="244"/>
      <c r="AB37" s="244"/>
    </row>
    <row r="38" spans="1:28" ht="13.35" customHeight="1">
      <c r="A38" s="50" t="s">
        <v>5</v>
      </c>
      <c r="B38" s="141"/>
      <c r="C38" s="80"/>
      <c r="D38" s="93"/>
      <c r="E38" s="226"/>
      <c r="F38" s="89"/>
      <c r="G38" s="81"/>
      <c r="H38" s="82"/>
      <c r="I38" s="83" t="str">
        <f t="shared" si="2"/>
        <v/>
      </c>
      <c r="J38" s="361" t="str">
        <f t="shared" si="3"/>
        <v/>
      </c>
      <c r="K38" s="200">
        <v>35</v>
      </c>
      <c r="L38" s="133">
        <f t="shared" si="4"/>
        <v>0</v>
      </c>
      <c r="M38" s="135" t="s">
        <v>5</v>
      </c>
      <c r="O38" s="244"/>
      <c r="P38" s="244"/>
      <c r="Q38" s="244"/>
      <c r="R38" s="244"/>
      <c r="S38" s="244"/>
      <c r="T38" s="244"/>
      <c r="U38" s="244"/>
      <c r="V38" s="244"/>
      <c r="W38" s="244"/>
      <c r="X38" s="244"/>
      <c r="Y38" s="244"/>
      <c r="Z38" s="244"/>
      <c r="AA38" s="244"/>
      <c r="AB38" s="244"/>
    </row>
    <row r="39" spans="1:28" ht="13.35" customHeight="1">
      <c r="A39" s="50" t="s">
        <v>5</v>
      </c>
      <c r="B39" s="141"/>
      <c r="C39" s="80"/>
      <c r="D39" s="93"/>
      <c r="E39" s="226"/>
      <c r="F39" s="89"/>
      <c r="G39" s="81"/>
      <c r="H39" s="82"/>
      <c r="I39" s="83" t="str">
        <f t="shared" si="2"/>
        <v/>
      </c>
      <c r="J39" s="361" t="str">
        <f t="shared" si="3"/>
        <v/>
      </c>
      <c r="K39" s="200">
        <v>36</v>
      </c>
      <c r="L39" s="133">
        <f t="shared" si="4"/>
        <v>0</v>
      </c>
      <c r="M39" s="135" t="s">
        <v>5</v>
      </c>
      <c r="O39" s="244"/>
      <c r="P39" s="244"/>
      <c r="Q39" s="244"/>
      <c r="R39" s="244"/>
      <c r="S39" s="244"/>
      <c r="T39" s="244"/>
      <c r="U39" s="244"/>
      <c r="V39" s="244"/>
      <c r="W39" s="244"/>
      <c r="X39" s="244"/>
      <c r="Y39" s="244"/>
      <c r="Z39" s="244"/>
      <c r="AA39" s="244"/>
      <c r="AB39" s="244"/>
    </row>
    <row r="40" spans="1:28" ht="13.35" customHeight="1">
      <c r="A40" s="50" t="s">
        <v>5</v>
      </c>
      <c r="B40" s="141"/>
      <c r="C40" s="80"/>
      <c r="D40" s="93"/>
      <c r="E40" s="226"/>
      <c r="F40" s="89"/>
      <c r="G40" s="81"/>
      <c r="H40" s="82"/>
      <c r="I40" s="83" t="str">
        <f t="shared" si="2"/>
        <v/>
      </c>
      <c r="J40" s="361" t="str">
        <f t="shared" si="3"/>
        <v/>
      </c>
      <c r="K40" s="200">
        <v>37</v>
      </c>
      <c r="L40" s="133">
        <f t="shared" si="4"/>
        <v>0</v>
      </c>
      <c r="M40" s="135" t="s">
        <v>5</v>
      </c>
      <c r="O40" s="244"/>
      <c r="P40" s="244"/>
      <c r="Q40" s="244"/>
      <c r="R40" s="244"/>
      <c r="S40" s="244"/>
      <c r="T40" s="244"/>
      <c r="U40" s="244"/>
      <c r="V40" s="244"/>
      <c r="W40" s="244"/>
      <c r="X40" s="244"/>
      <c r="Y40" s="244"/>
      <c r="Z40" s="244"/>
      <c r="AA40" s="244"/>
      <c r="AB40" s="244"/>
    </row>
    <row r="41" spans="1:28" ht="13.35" customHeight="1">
      <c r="A41" s="50" t="s">
        <v>5</v>
      </c>
      <c r="B41" s="141"/>
      <c r="C41" s="80"/>
      <c r="D41" s="93"/>
      <c r="E41" s="226"/>
      <c r="F41" s="89"/>
      <c r="G41" s="81"/>
      <c r="H41" s="82"/>
      <c r="I41" s="83" t="str">
        <f t="shared" si="2"/>
        <v/>
      </c>
      <c r="J41" s="361" t="str">
        <f t="shared" si="3"/>
        <v/>
      </c>
      <c r="K41" s="200">
        <v>38</v>
      </c>
      <c r="L41" s="133">
        <f t="shared" si="4"/>
        <v>0</v>
      </c>
      <c r="M41" s="135" t="s">
        <v>5</v>
      </c>
      <c r="O41" s="244"/>
      <c r="P41" s="244"/>
      <c r="Q41" s="244"/>
      <c r="R41" s="244"/>
      <c r="S41" s="244"/>
      <c r="T41" s="244"/>
      <c r="U41" s="244"/>
      <c r="V41" s="244"/>
      <c r="W41" s="244"/>
      <c r="X41" s="244"/>
      <c r="Y41" s="244"/>
      <c r="Z41" s="244"/>
      <c r="AA41" s="244"/>
      <c r="AB41" s="244"/>
    </row>
    <row r="42" spans="1:28" ht="13.35" customHeight="1">
      <c r="A42" s="50" t="s">
        <v>5</v>
      </c>
      <c r="B42" s="141"/>
      <c r="C42" s="80"/>
      <c r="D42" s="93"/>
      <c r="E42" s="226"/>
      <c r="F42" s="89"/>
      <c r="G42" s="81"/>
      <c r="H42" s="82"/>
      <c r="I42" s="83" t="str">
        <f t="shared" si="2"/>
        <v/>
      </c>
      <c r="J42" s="361" t="str">
        <f t="shared" si="3"/>
        <v/>
      </c>
      <c r="K42" s="200">
        <v>39</v>
      </c>
      <c r="L42" s="133">
        <f t="shared" si="4"/>
        <v>0</v>
      </c>
      <c r="M42" s="135" t="s">
        <v>5</v>
      </c>
      <c r="O42" s="244"/>
      <c r="P42" s="244"/>
      <c r="Q42" s="244"/>
      <c r="R42" s="244"/>
      <c r="S42" s="244"/>
      <c r="T42" s="244"/>
      <c r="U42" s="244"/>
      <c r="V42" s="244"/>
      <c r="W42" s="244"/>
      <c r="X42" s="244"/>
      <c r="Y42" s="244"/>
      <c r="Z42" s="244"/>
      <c r="AA42" s="244"/>
      <c r="AB42" s="244"/>
    </row>
    <row r="43" spans="1:28" ht="13.35" customHeight="1">
      <c r="A43" s="50" t="s">
        <v>5</v>
      </c>
      <c r="B43" s="141"/>
      <c r="C43" s="80"/>
      <c r="D43" s="93"/>
      <c r="E43" s="226"/>
      <c r="F43" s="89"/>
      <c r="G43" s="81"/>
      <c r="H43" s="82"/>
      <c r="I43" s="83" t="str">
        <f t="shared" si="2"/>
        <v/>
      </c>
      <c r="J43" s="361" t="str">
        <f t="shared" si="3"/>
        <v/>
      </c>
      <c r="K43" s="200">
        <v>40</v>
      </c>
      <c r="L43" s="133">
        <f t="shared" si="4"/>
        <v>0</v>
      </c>
      <c r="M43" s="135" t="s">
        <v>5</v>
      </c>
      <c r="O43" s="244"/>
      <c r="P43" s="244"/>
      <c r="Q43" s="244"/>
      <c r="R43" s="244"/>
      <c r="S43" s="244"/>
      <c r="T43" s="244"/>
      <c r="U43" s="244"/>
      <c r="V43" s="244"/>
      <c r="W43" s="244"/>
      <c r="X43" s="244"/>
      <c r="Y43" s="244"/>
      <c r="Z43" s="244"/>
      <c r="AA43" s="244"/>
      <c r="AB43" s="244"/>
    </row>
    <row r="44" spans="1:28" ht="13.35" customHeight="1">
      <c r="A44" s="50" t="s">
        <v>5</v>
      </c>
      <c r="B44" s="141"/>
      <c r="C44" s="80"/>
      <c r="D44" s="93"/>
      <c r="E44" s="226"/>
      <c r="F44" s="89"/>
      <c r="G44" s="81"/>
      <c r="H44" s="82"/>
      <c r="I44" s="83" t="str">
        <f t="shared" si="2"/>
        <v/>
      </c>
      <c r="J44" s="361" t="str">
        <f t="shared" si="3"/>
        <v/>
      </c>
      <c r="K44" s="200">
        <v>41</v>
      </c>
      <c r="L44" s="133">
        <f t="shared" si="4"/>
        <v>0</v>
      </c>
      <c r="M44" s="135" t="s">
        <v>5</v>
      </c>
      <c r="O44" s="244"/>
      <c r="P44" s="244"/>
      <c r="Q44" s="244"/>
      <c r="R44" s="244"/>
      <c r="S44" s="244"/>
      <c r="T44" s="244"/>
      <c r="U44" s="244"/>
      <c r="V44" s="244"/>
      <c r="W44" s="244"/>
      <c r="X44" s="244"/>
      <c r="Y44" s="244"/>
      <c r="Z44" s="244"/>
      <c r="AA44" s="244"/>
      <c r="AB44" s="244"/>
    </row>
    <row r="45" spans="1:28" ht="13.35" customHeight="1">
      <c r="A45" s="50" t="s">
        <v>5</v>
      </c>
      <c r="B45" s="141"/>
      <c r="C45" s="80"/>
      <c r="D45" s="93"/>
      <c r="E45" s="226"/>
      <c r="F45" s="89"/>
      <c r="G45" s="81"/>
      <c r="H45" s="82"/>
      <c r="I45" s="83" t="str">
        <f t="shared" ref="I45:I46" si="7">IF(G45&lt;&gt;"",+G45-G45/(1+H45/100),"")</f>
        <v/>
      </c>
      <c r="J45" s="361" t="str">
        <f t="shared" ref="J45:J46" si="8">IF(G45&lt;&gt;0,+G45-I45,"")</f>
        <v/>
      </c>
      <c r="K45" s="200">
        <v>44</v>
      </c>
      <c r="L45" s="133">
        <f t="shared" ref="L45:L46" si="9">IF(B45&lt;$O$2,0,IF(B45&lt;$P$2,1,IF(B45&lt;$Q$2,2,IF(B45&lt;$R$2,3,IF(B45&lt;$S$2,4,IF(B45&lt;$T$2,5,IF(B45&lt;$U$2,6,IF(B45&lt;$V$2,7,IF(B45&lt;$W$2,8,IF(B45&lt;$X$2,9,IF(B45&lt;$Y$2,10,IF(B45&lt;$Z$2,11,IF(B45&lt;=$Z$3,12,0)))))))))))))</f>
        <v>0</v>
      </c>
      <c r="M45" s="135" t="s">
        <v>5</v>
      </c>
      <c r="O45" s="244"/>
      <c r="P45" s="244"/>
      <c r="Q45" s="244"/>
      <c r="R45" s="244"/>
      <c r="S45" s="244"/>
      <c r="T45" s="244"/>
      <c r="U45" s="244"/>
      <c r="V45" s="244"/>
      <c r="W45" s="244"/>
      <c r="X45" s="244"/>
      <c r="Y45" s="244"/>
      <c r="Z45" s="244"/>
      <c r="AA45" s="244"/>
      <c r="AB45" s="244"/>
    </row>
    <row r="46" spans="1:28" ht="13.35" customHeight="1" thickBot="1">
      <c r="A46" s="50" t="s">
        <v>5</v>
      </c>
      <c r="B46" s="141"/>
      <c r="C46" s="80"/>
      <c r="D46" s="93"/>
      <c r="E46" s="226"/>
      <c r="F46" s="89"/>
      <c r="G46" s="81"/>
      <c r="H46" s="82"/>
      <c r="I46" s="83" t="str">
        <f t="shared" si="7"/>
        <v/>
      </c>
      <c r="J46" s="361" t="str">
        <f t="shared" si="8"/>
        <v/>
      </c>
      <c r="K46" s="200">
        <v>45</v>
      </c>
      <c r="L46" s="133">
        <f t="shared" si="9"/>
        <v>0</v>
      </c>
      <c r="M46" s="135" t="s">
        <v>5</v>
      </c>
      <c r="O46" s="244"/>
      <c r="P46" s="244"/>
      <c r="Q46" s="244"/>
      <c r="R46" s="244"/>
      <c r="S46" s="244"/>
      <c r="T46" s="244"/>
      <c r="U46" s="244"/>
      <c r="V46" s="244"/>
      <c r="W46" s="244"/>
      <c r="X46" s="244"/>
      <c r="Y46" s="244"/>
      <c r="Z46" s="244"/>
      <c r="AA46" s="244"/>
      <c r="AB46" s="244"/>
    </row>
    <row r="47" spans="1:28" ht="12" customHeight="1" thickTop="1" thickBot="1">
      <c r="A47" s="391" t="s">
        <v>283</v>
      </c>
      <c r="B47" s="1244" t="str">
        <f>IF($A$48=0,"^ Zeile einfügen","bis hierher ziehen!")</f>
        <v>^ Zeile einfügen</v>
      </c>
      <c r="C47" s="1244"/>
      <c r="D47" s="392" t="s">
        <v>5</v>
      </c>
      <c r="E47" s="393" t="s">
        <v>5</v>
      </c>
      <c r="F47" s="394" t="s">
        <v>5</v>
      </c>
      <c r="G47" s="394"/>
      <c r="H47" s="395"/>
      <c r="I47" s="396"/>
      <c r="J47" s="425"/>
      <c r="K47" s="201">
        <v>0</v>
      </c>
      <c r="L47" s="185" t="s">
        <v>5</v>
      </c>
      <c r="M47" s="398" t="s">
        <v>283</v>
      </c>
    </row>
    <row r="48" spans="1:28" ht="12" customHeight="1" thickTop="1" thickBot="1">
      <c r="A48" s="390">
        <f>COUNTBLANK(A3:A47)+A49</f>
        <v>0</v>
      </c>
      <c r="B48" s="193" t="str">
        <f>+EÜR!C28</f>
        <v>ü</v>
      </c>
      <c r="C48" s="194" t="s">
        <v>5</v>
      </c>
      <c r="D48" s="194" t="s">
        <v>5</v>
      </c>
      <c r="E48" s="195" t="s">
        <v>5</v>
      </c>
      <c r="F48" s="196" t="s">
        <v>5</v>
      </c>
      <c r="G48" s="197">
        <f>SUBTOTAL(9,G3:G47)</f>
        <v>0</v>
      </c>
      <c r="H48" s="1242">
        <f>SUBTOTAL(9,I3:I47)</f>
        <v>0</v>
      </c>
      <c r="I48" s="1243">
        <f>SUBTOTAL(9,I3:I47)</f>
        <v>0</v>
      </c>
      <c r="J48" s="1293">
        <f>G48-H48</f>
        <v>0</v>
      </c>
      <c r="K48" s="1294"/>
      <c r="L48" s="1295"/>
      <c r="M48" s="135" t="s">
        <v>5</v>
      </c>
    </row>
    <row r="49" spans="1:14" ht="12" customHeight="1" thickTop="1" thickBot="1">
      <c r="A49" s="390">
        <f>IF(ISERROR(J47),1,0)</f>
        <v>0</v>
      </c>
      <c r="B49" s="192">
        <f>J48-G49-E49-C49</f>
        <v>0</v>
      </c>
      <c r="C49" s="1239">
        <f>SUMIF(F4:F47,"Kreditkarte",G4:G47)</f>
        <v>0</v>
      </c>
      <c r="D49" s="1239"/>
      <c r="E49" s="1240">
        <f>SUMIF(F4:F47,"Konto",G4:G47)</f>
        <v>0</v>
      </c>
      <c r="F49" s="1240"/>
      <c r="G49" s="1241">
        <f>SUMIF(F4:F47,"Geldbeutel",G4:G47)</f>
        <v>0</v>
      </c>
      <c r="H49" s="1241"/>
      <c r="I49" s="1241"/>
      <c r="J49" s="1296"/>
      <c r="K49" s="1297"/>
      <c r="L49" s="1298"/>
      <c r="M49" s="135" t="s">
        <v>5</v>
      </c>
    </row>
    <row r="50" spans="1:14" s="15" customFormat="1" ht="5.25" customHeight="1" thickTop="1">
      <c r="A50" s="36"/>
      <c r="B50" s="2"/>
      <c r="C50" s="3"/>
      <c r="D50" s="3"/>
      <c r="E50" s="1"/>
      <c r="G50" s="16"/>
      <c r="H50" s="16"/>
      <c r="I50" s="17"/>
      <c r="J50" s="18"/>
      <c r="K50" s="18"/>
      <c r="L50" s="31"/>
      <c r="N50" s="148"/>
    </row>
    <row r="51" spans="1:14">
      <c r="A51" s="36"/>
    </row>
  </sheetData>
  <sheetProtection formatCells="0" insertRows="0" deleteRows="0" selectLockedCells="1" sort="0" autoFilter="0"/>
  <mergeCells count="15">
    <mergeCell ref="C2:I2"/>
    <mergeCell ref="J2:L2"/>
    <mergeCell ref="AA9:AB9"/>
    <mergeCell ref="O10:Z10"/>
    <mergeCell ref="O11:Z11"/>
    <mergeCell ref="AA4:AB4"/>
    <mergeCell ref="AA13:AB13"/>
    <mergeCell ref="O14:Z14"/>
    <mergeCell ref="AA14:AB14"/>
    <mergeCell ref="J48:L49"/>
    <mergeCell ref="C49:D49"/>
    <mergeCell ref="E49:F49"/>
    <mergeCell ref="G49:I49"/>
    <mergeCell ref="H48:I48"/>
    <mergeCell ref="B47:C47"/>
  </mergeCells>
  <conditionalFormatting sqref="A4:A46">
    <cfRule type="expression" dxfId="1164" priority="22">
      <formula>ISERROR(J4)</formula>
    </cfRule>
    <cfRule type="cellIs" dxfId="1163" priority="23" operator="equal">
      <formula>""</formula>
    </cfRule>
  </conditionalFormatting>
  <conditionalFormatting sqref="A47:C47">
    <cfRule type="expression" dxfId="1162" priority="7">
      <formula>$A$48&lt;&gt;0</formula>
    </cfRule>
  </conditionalFormatting>
  <conditionalFormatting sqref="B2">
    <cfRule type="expression" dxfId="1161" priority="49" stopIfTrue="1">
      <formula>$B$48="x"</formula>
    </cfRule>
  </conditionalFormatting>
  <conditionalFormatting sqref="B4:B46">
    <cfRule type="cellIs" dxfId="1158" priority="36" operator="equal">
      <formula>""</formula>
    </cfRule>
  </conditionalFormatting>
  <conditionalFormatting sqref="B48">
    <cfRule type="cellIs" dxfId="1157" priority="72" operator="equal">
      <formula>"y"</formula>
    </cfRule>
  </conditionalFormatting>
  <conditionalFormatting sqref="B3:J3">
    <cfRule type="expression" dxfId="1156" priority="10687">
      <formula>$B$48="x"</formula>
    </cfRule>
  </conditionalFormatting>
  <conditionalFormatting sqref="B4:J46">
    <cfRule type="expression" dxfId="1155" priority="32">
      <formula>$B$1="x"</formula>
    </cfRule>
  </conditionalFormatting>
  <conditionalFormatting sqref="B3:L3">
    <cfRule type="expression" dxfId="1154" priority="66">
      <formula>$B$48="x"</formula>
    </cfRule>
  </conditionalFormatting>
  <conditionalFormatting sqref="C4:D46">
    <cfRule type="expression" dxfId="1153" priority="39">
      <formula>AND($B4&lt;&gt;"",$C4="")</formula>
    </cfRule>
  </conditionalFormatting>
  <conditionalFormatting sqref="C49:I49">
    <cfRule type="cellIs" dxfId="1152" priority="71" stopIfTrue="1" operator="lessThan">
      <formula>0</formula>
    </cfRule>
    <cfRule type="cellIs" dxfId="1151" priority="69" stopIfTrue="1" operator="greaterThanOrEqual">
      <formula>0</formula>
    </cfRule>
  </conditionalFormatting>
  <conditionalFormatting sqref="D47:J47">
    <cfRule type="expression" dxfId="1150" priority="9">
      <formula>$A$48&lt;&gt;0</formula>
    </cfRule>
  </conditionalFormatting>
  <conditionalFormatting sqref="H4:H46">
    <cfRule type="expression" dxfId="1149" priority="35">
      <formula>AND(G4&lt;&gt;"",H4="",$I$1&lt;&gt;"x")</formula>
    </cfRule>
  </conditionalFormatting>
  <conditionalFormatting sqref="H4:I46">
    <cfRule type="expression" dxfId="1148" priority="33">
      <formula>AND($I4&lt;&gt;0,$I$1&lt;&gt;"ü")</formula>
    </cfRule>
    <cfRule type="expression" dxfId="1147" priority="34">
      <formula>$I$1&lt;&gt;"ü"</formula>
    </cfRule>
  </conditionalFormatting>
  <conditionalFormatting sqref="J48:L48 C49:L49 C48:H48">
    <cfRule type="expression" dxfId="1145" priority="68">
      <formula>$B$48="x"</formula>
    </cfRule>
  </conditionalFormatting>
  <conditionalFormatting sqref="J48:L49">
    <cfRule type="expression" dxfId="1144" priority="67">
      <formula>AND($B$48="x",$J$48&lt;&gt;0)</formula>
    </cfRule>
  </conditionalFormatting>
  <conditionalFormatting sqref="K4:L46">
    <cfRule type="expression" dxfId="1143" priority="17252">
      <formula>$B$48="x"</formula>
    </cfRule>
  </conditionalFormatting>
  <conditionalFormatting sqref="M3">
    <cfRule type="cellIs" dxfId="1142" priority="31" operator="equal">
      <formula>""</formula>
    </cfRule>
  </conditionalFormatting>
  <conditionalFormatting sqref="M4:M46">
    <cfRule type="expression" dxfId="1141" priority="29">
      <formula>ISERROR(J4)</formula>
    </cfRule>
    <cfRule type="cellIs" dxfId="1140" priority="30" operator="equal">
      <formula>""</formula>
    </cfRule>
  </conditionalFormatting>
  <conditionalFormatting sqref="M47">
    <cfRule type="expression" dxfId="1139" priority="8">
      <formula>$A$48&lt;&gt;0</formula>
    </cfRule>
  </conditionalFormatting>
  <conditionalFormatting sqref="M47:M49">
    <cfRule type="cellIs" dxfId="1138" priority="11" operator="equal">
      <formula>""</formula>
    </cfRule>
  </conditionalFormatting>
  <conditionalFormatting sqref="N10:AB10">
    <cfRule type="expression" dxfId="1137" priority="6">
      <formula>$N$2=0</formula>
    </cfRule>
  </conditionalFormatting>
  <conditionalFormatting sqref="O11:Z11">
    <cfRule type="cellIs" dxfId="1136" priority="53" operator="equal">
      <formula>"Fehler!"</formula>
    </cfRule>
  </conditionalFormatting>
  <conditionalFormatting sqref="O4:AA4">
    <cfRule type="expression" dxfId="1132" priority="48">
      <formula>$N$2=0</formula>
    </cfRule>
  </conditionalFormatting>
  <conditionalFormatting sqref="O2:AB3">
    <cfRule type="expression" dxfId="1130" priority="1">
      <formula>$N$2=0</formula>
    </cfRule>
  </conditionalFormatting>
  <conditionalFormatting sqref="O5:AB8 O9:AA9">
    <cfRule type="expression" dxfId="1129" priority="52">
      <formula>$N$2=0</formula>
    </cfRule>
  </conditionalFormatting>
  <conditionalFormatting sqref="O11:AB14">
    <cfRule type="expression" dxfId="1128" priority="3">
      <formula>$N$2=0</formula>
    </cfRule>
  </conditionalFormatting>
  <conditionalFormatting sqref="O47:AB49">
    <cfRule type="expression" dxfId="1127" priority="10">
      <formula>$N$2=0</formula>
    </cfRule>
  </conditionalFormatting>
  <dataValidations count="2">
    <dataValidation type="list" allowBlank="1" showInputMessage="1" showErrorMessage="1" sqref="H4:H46" xr:uid="{AF98B13E-BCE5-4F84-9096-BC1451B7307D}">
      <formula1>"19,7,0,~"</formula1>
    </dataValidation>
    <dataValidation type="list" allowBlank="1" showInputMessage="1" showErrorMessage="1" sqref="F4:F46" xr:uid="{97A74D93-E459-4919-9EC2-B464C9F81223}">
      <formula1>"Konto,Geldbeutel,Kreditkarte,x"</formula1>
    </dataValidation>
  </dataValidations>
  <hyperlinks>
    <hyperlink ref="J2" location="'2022 EÜR'!A1" display="Menü" xr:uid="{8C5FD69B-E743-42EC-8048-BD9EB30CCA32}"/>
    <hyperlink ref="J2:L2" location="EÜR!A1" display="EÜR" xr:uid="{5D9772C2-32A4-4FDC-A78E-AB3A020E5043}"/>
  </hyperlinks>
  <printOptions horizontalCentered="1"/>
  <pageMargins left="0" right="0" top="0" bottom="0.31496062992125984" header="0" footer="0"/>
  <pageSetup paperSize="9" orientation="portrait" r:id="rId1"/>
  <headerFooter>
    <oddFooter>&amp;L&amp;"Arial,Standard"&amp;8Datei: &amp;Z&amp;F/&amp;A&amp;C&amp;"Arial,Standard"&amp;8Seite &amp;P von &amp;N&amp;R&amp;"Arial,Standard"&amp;8Druck: &amp;D&amp;T Uhr</oddFooter>
  </headerFooter>
  <extLst>
    <ext xmlns:x14="http://schemas.microsoft.com/office/spreadsheetml/2009/9/main" uri="{78C0D931-6437-407d-A8EE-F0AAD7539E65}">
      <x14:conditionalFormattings>
        <x14:conditionalFormatting xmlns:xm="http://schemas.microsoft.com/office/excel/2006/main">
          <x14:cfRule type="cellIs" priority="37" operator="greaterThan" id="{E3800733-C120-4903-9E1E-7360F4777683}">
            <xm:f>EÜR!$I$78</xm:f>
            <x14:dxf>
              <font>
                <b/>
                <i val="0"/>
                <color rgb="FFFFFF00"/>
              </font>
              <fill>
                <patternFill>
                  <bgColor rgb="FFC00000"/>
                </patternFill>
              </fill>
            </x14:dxf>
          </x14:cfRule>
          <x14:cfRule type="cellIs" priority="38" operator="lessThan" id="{A80A3317-BF21-4EC9-A1C2-DF57AD3FC6E3}">
            <xm:f>EÜR!$I$77</xm:f>
            <x14:dxf>
              <font>
                <b/>
                <i val="0"/>
                <color rgb="FFFFFF00"/>
              </font>
              <fill>
                <patternFill>
                  <bgColor rgb="FFC00000"/>
                </patternFill>
              </fill>
            </x14:dxf>
          </x14:cfRule>
          <xm:sqref>B4:B46</xm:sqref>
        </x14:conditionalFormatting>
        <x14:conditionalFormatting xmlns:xm="http://schemas.microsoft.com/office/excel/2006/main">
          <x14:cfRule type="expression" priority="50" id="{3AA15828-EAA5-4FF1-B77D-7F0D43492A76}">
            <xm:f>AND(EÜR!$J$66&lt;&gt;"ü",$H$48&lt;&gt;0)</xm:f>
            <x14:dxf>
              <font>
                <b/>
                <i val="0"/>
                <color rgb="FFFFFF00"/>
              </font>
              <fill>
                <patternFill>
                  <bgColor rgb="FFFF0000"/>
                </patternFill>
              </fill>
            </x14:dxf>
          </x14:cfRule>
          <xm:sqref>H48:I48</xm:sqref>
        </x14:conditionalFormatting>
        <x14:conditionalFormatting xmlns:xm="http://schemas.microsoft.com/office/excel/2006/main">
          <x14:cfRule type="expression" priority="54" id="{3DEE61CE-36B5-4C83-9507-6E8A02E37307}">
            <xm:f>AND(O13&lt;&gt;0,U!L36="!",U!L37="!")</xm:f>
            <x14:dxf>
              <font>
                <b/>
                <i val="0"/>
                <color rgb="FFFF0000"/>
              </font>
              <fill>
                <patternFill>
                  <bgColor rgb="FFFFCCCC"/>
                </patternFill>
              </fill>
            </x14:dxf>
          </x14:cfRule>
          <x14:cfRule type="expression" priority="55" id="{C2E5A713-7484-4DCC-86A0-FD4267598C5E}">
            <xm:f>U!L37&lt;&gt;"!"</xm:f>
            <x14:dxf>
              <font>
                <b/>
                <i val="0"/>
                <color rgb="FF006666"/>
              </font>
              <fill>
                <patternFill>
                  <bgColor theme="6" tint="0.39994506668294322"/>
                </patternFill>
              </fill>
            </x14:dxf>
          </x14:cfRule>
          <x14:cfRule type="expression" priority="56" id="{815D27AE-1458-4E9B-A155-37E57F37E7D0}">
            <xm:f>U!L36&lt;&gt;"!"</xm:f>
            <x14:dxf>
              <font>
                <b/>
                <i val="0"/>
                <color theme="9" tint="-0.499984740745262"/>
              </font>
              <fill>
                <patternFill>
                  <bgColor rgb="FFFFFF99"/>
                </patternFill>
              </fill>
            </x14:dxf>
          </x14:cfRule>
          <xm:sqref>O13:Z13</xm:sqref>
        </x14:conditionalFormatting>
        <x14:conditionalFormatting xmlns:xm="http://schemas.microsoft.com/office/excel/2006/main">
          <x14:cfRule type="expression" priority="2" id="{85A60FBC-9A06-43F3-B209-C5388D91BDDA}">
            <xm:f>EÜR!$J$66="-"</xm:f>
            <x14:dxf>
              <font>
                <b/>
                <i val="0"/>
                <color theme="0"/>
              </font>
              <fill>
                <patternFill>
                  <bgColor theme="0"/>
                </patternFill>
              </fill>
              <border>
                <left/>
                <right/>
                <top/>
                <bottom/>
              </border>
            </x14:dxf>
          </x14:cfRule>
          <xm:sqref>O12:AA14</xm:sqref>
        </x14:conditionalFormatting>
      </x14:conditionalFormattings>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F347C3-0B91-4AA0-B802-12A738D900B6}">
  <sheetPr codeName="Tabelle16">
    <tabColor theme="9" tint="0.39997558519241921"/>
    <pageSetUpPr autoPageBreaks="0"/>
  </sheetPr>
  <dimension ref="A1:AB51"/>
  <sheetViews>
    <sheetView showGridLines="0" showRowColHeaders="0" zoomScaleNormal="100" workbookViewId="0">
      <pane ySplit="3" topLeftCell="A4" activePane="bottomLeft" state="frozen"/>
      <selection activeCell="F4" sqref="F4:F46"/>
      <selection pane="bottomLeft" activeCell="A4" sqref="A4"/>
    </sheetView>
  </sheetViews>
  <sheetFormatPr baseColWidth="10" defaultColWidth="9.77734375" defaultRowHeight="12.75"/>
  <cols>
    <col min="1" max="1" width="0.77734375" style="12" customWidth="1"/>
    <col min="2" max="2" width="7.6640625" style="30" customWidth="1"/>
    <col min="3" max="3" width="21.6640625" style="24" customWidth="1"/>
    <col min="4" max="4" width="7.6640625" style="24" customWidth="1"/>
    <col min="5" max="5" width="6.6640625" style="25" customWidth="1"/>
    <col min="6" max="6" width="9.6640625" style="26" customWidth="1"/>
    <col min="7" max="7" width="9.6640625" style="27" customWidth="1"/>
    <col min="8" max="8" width="2.6640625" style="28" customWidth="1"/>
    <col min="9" max="9" width="6.6640625" style="29" customWidth="1"/>
    <col min="10" max="10" width="9.6640625" style="27" customWidth="1"/>
    <col min="11" max="11" width="2.5546875" style="27" hidden="1" customWidth="1"/>
    <col min="12" max="12" width="1.5546875" style="32" hidden="1" customWidth="1"/>
    <col min="13" max="13" width="0.77734375" style="13" customWidth="1"/>
    <col min="14" max="14" width="1.77734375" style="147" customWidth="1"/>
    <col min="15" max="26" width="8.77734375" style="13" customWidth="1"/>
    <col min="27" max="27" width="10.33203125" style="13" customWidth="1"/>
    <col min="28" max="28" width="8.33203125" style="13" customWidth="1"/>
    <col min="29" max="16384" width="9.77734375" style="13"/>
  </cols>
  <sheetData>
    <row r="1" spans="1:28" s="37" customFormat="1" ht="3" customHeight="1" thickBot="1">
      <c r="A1" s="36"/>
      <c r="B1" s="53" t="str">
        <f>+B48</f>
        <v>ü</v>
      </c>
      <c r="C1" s="54">
        <f>+C49</f>
        <v>0</v>
      </c>
      <c r="D1" s="54"/>
      <c r="E1" s="53">
        <f>+E49</f>
        <v>0</v>
      </c>
      <c r="F1" s="53"/>
      <c r="G1" s="54">
        <f>+G49</f>
        <v>0</v>
      </c>
      <c r="H1" s="53"/>
      <c r="I1" s="338" t="str">
        <f>+EÜR!J66</f>
        <v>-</v>
      </c>
      <c r="J1" s="54">
        <f>+J48</f>
        <v>0</v>
      </c>
      <c r="K1" s="198"/>
      <c r="L1" s="56"/>
      <c r="N1" s="190"/>
    </row>
    <row r="2" spans="1:28" ht="23.1" customHeight="1" thickTop="1" thickBot="1">
      <c r="A2" s="36"/>
      <c r="B2" s="296" t="str">
        <f>+EÜR!D29</f>
        <v>A08</v>
      </c>
      <c r="C2" s="1290" t="str">
        <f>+EÜR!F29</f>
        <v>Aufwendungen für Telekommunikation</v>
      </c>
      <c r="D2" s="1291"/>
      <c r="E2" s="1291"/>
      <c r="F2" s="1291"/>
      <c r="G2" s="1291"/>
      <c r="H2" s="1291"/>
      <c r="I2" s="1292"/>
      <c r="J2" s="1227" t="s">
        <v>8</v>
      </c>
      <c r="K2" s="1228"/>
      <c r="L2" s="1229"/>
      <c r="M2" s="134"/>
      <c r="N2" s="190">
        <f>IF(OR(B48="x",N3=1),0,1)</f>
        <v>1</v>
      </c>
      <c r="O2" s="188">
        <f>+EOMONTH(EÜR!$I$3,-1)+1</f>
        <v>46023</v>
      </c>
      <c r="P2" s="188">
        <f t="shared" ref="P2:Z2" si="0">+O3+1</f>
        <v>46054</v>
      </c>
      <c r="Q2" s="188">
        <f t="shared" si="0"/>
        <v>46082</v>
      </c>
      <c r="R2" s="188">
        <f t="shared" si="0"/>
        <v>46113</v>
      </c>
      <c r="S2" s="188">
        <f t="shared" si="0"/>
        <v>46143</v>
      </c>
      <c r="T2" s="188">
        <f t="shared" si="0"/>
        <v>46174</v>
      </c>
      <c r="U2" s="188">
        <f t="shared" si="0"/>
        <v>46204</v>
      </c>
      <c r="V2" s="188">
        <f t="shared" si="0"/>
        <v>46235</v>
      </c>
      <c r="W2" s="188">
        <f t="shared" si="0"/>
        <v>46266</v>
      </c>
      <c r="X2" s="188">
        <f t="shared" si="0"/>
        <v>46296</v>
      </c>
      <c r="Y2" s="188">
        <f t="shared" si="0"/>
        <v>46327</v>
      </c>
      <c r="Z2" s="188">
        <f t="shared" si="0"/>
        <v>46357</v>
      </c>
      <c r="AA2" s="48"/>
    </row>
    <row r="3" spans="1:28" ht="14.25" customHeight="1" thickTop="1">
      <c r="A3" s="36" t="s">
        <v>5</v>
      </c>
      <c r="B3" s="58" t="s">
        <v>1</v>
      </c>
      <c r="C3" s="59" t="s">
        <v>6</v>
      </c>
      <c r="D3" s="60"/>
      <c r="E3" s="310" t="s">
        <v>7</v>
      </c>
      <c r="F3" s="61" t="s">
        <v>4</v>
      </c>
      <c r="G3" s="62" t="s">
        <v>31</v>
      </c>
      <c r="H3" s="63" t="s">
        <v>33</v>
      </c>
      <c r="I3" s="64" t="s">
        <v>32</v>
      </c>
      <c r="J3" s="275" t="s">
        <v>34</v>
      </c>
      <c r="K3" s="199">
        <v>0</v>
      </c>
      <c r="L3" s="65" t="s">
        <v>5</v>
      </c>
      <c r="M3" s="135" t="s">
        <v>5</v>
      </c>
      <c r="N3" s="222">
        <f>IF(SUBTOTAL(109,K3:K47)&lt;&gt;SUM(K3:K47),1,0)</f>
        <v>0</v>
      </c>
      <c r="O3" s="189">
        <f>EOMONTH(O2,0)</f>
        <v>46053</v>
      </c>
      <c r="P3" s="189">
        <f t="shared" ref="P3:Z3" si="1">EOMONTH(P2,0)</f>
        <v>46081</v>
      </c>
      <c r="Q3" s="189">
        <f t="shared" si="1"/>
        <v>46112</v>
      </c>
      <c r="R3" s="189">
        <f t="shared" si="1"/>
        <v>46142</v>
      </c>
      <c r="S3" s="189">
        <f t="shared" si="1"/>
        <v>46173</v>
      </c>
      <c r="T3" s="189">
        <f t="shared" si="1"/>
        <v>46203</v>
      </c>
      <c r="U3" s="189">
        <f t="shared" si="1"/>
        <v>46234</v>
      </c>
      <c r="V3" s="189">
        <f t="shared" si="1"/>
        <v>46265</v>
      </c>
      <c r="W3" s="189">
        <f t="shared" si="1"/>
        <v>46295</v>
      </c>
      <c r="X3" s="189">
        <f t="shared" si="1"/>
        <v>46326</v>
      </c>
      <c r="Y3" s="189">
        <f t="shared" si="1"/>
        <v>46356</v>
      </c>
      <c r="Z3" s="189">
        <f t="shared" si="1"/>
        <v>46387</v>
      </c>
      <c r="AB3" s="14"/>
    </row>
    <row r="4" spans="1:28" ht="13.35" customHeight="1">
      <c r="A4" s="50" t="s">
        <v>5</v>
      </c>
      <c r="B4" s="141"/>
      <c r="C4" s="80"/>
      <c r="D4" s="93"/>
      <c r="E4" s="226"/>
      <c r="F4" s="89"/>
      <c r="G4" s="81"/>
      <c r="H4" s="82"/>
      <c r="I4" s="83" t="str">
        <f t="shared" ref="I4:I44" si="2">IF(G4&lt;&gt;"",+G4-G4/(1+H4/100),"")</f>
        <v/>
      </c>
      <c r="J4" s="361" t="str">
        <f t="shared" ref="J4:J44" si="3">IF(G4&lt;&gt;0,+G4-I4,"")</f>
        <v/>
      </c>
      <c r="K4" s="200">
        <v>1</v>
      </c>
      <c r="L4" s="133">
        <f>IF(B4&lt;$O$2,0,IF(B4&lt;$P$2,1,IF(B4&lt;$Q$2,2,IF(B4&lt;$R$2,3,IF(B4&lt;$S$2,4,IF(B4&lt;$T$2,5,IF(B4&lt;$U$2,6,IF(B4&lt;$V$2,7,IF(B4&lt;$W$2,8,IF(B4&lt;$X$2,9,IF(B4&lt;$Y$2,10,IF(B4&lt;$Z$2,11,IF(B4&lt;=$Z$3,12,0)))))))))))))</f>
        <v>0</v>
      </c>
      <c r="M4" s="135" t="s">
        <v>5</v>
      </c>
      <c r="N4" s="190">
        <f>+N10+AA12+AA16</f>
        <v>0</v>
      </c>
      <c r="O4" s="251" t="s">
        <v>36</v>
      </c>
      <c r="P4" s="251" t="s">
        <v>37</v>
      </c>
      <c r="Q4" s="251" t="s">
        <v>38</v>
      </c>
      <c r="R4" s="251" t="s">
        <v>39</v>
      </c>
      <c r="S4" s="251" t="s">
        <v>40</v>
      </c>
      <c r="T4" s="251" t="s">
        <v>41</v>
      </c>
      <c r="U4" s="251" t="s">
        <v>42</v>
      </c>
      <c r="V4" s="251" t="s">
        <v>43</v>
      </c>
      <c r="W4" s="251" t="s">
        <v>44</v>
      </c>
      <c r="X4" s="251" t="s">
        <v>45</v>
      </c>
      <c r="Y4" s="251" t="s">
        <v>46</v>
      </c>
      <c r="Z4" s="251" t="s">
        <v>47</v>
      </c>
      <c r="AA4" s="1209" t="s">
        <v>255</v>
      </c>
      <c r="AB4" s="1210"/>
    </row>
    <row r="5" spans="1:28" ht="13.35" customHeight="1">
      <c r="A5" s="50" t="s">
        <v>5</v>
      </c>
      <c r="B5" s="141"/>
      <c r="C5" s="80"/>
      <c r="D5" s="93"/>
      <c r="E5" s="226"/>
      <c r="F5" s="89"/>
      <c r="G5" s="81"/>
      <c r="H5" s="82"/>
      <c r="I5" s="83" t="str">
        <f t="shared" si="2"/>
        <v/>
      </c>
      <c r="J5" s="361" t="str">
        <f t="shared" si="3"/>
        <v/>
      </c>
      <c r="K5" s="200">
        <v>2</v>
      </c>
      <c r="L5" s="133">
        <f t="shared" ref="L5:L44" si="4">IF(B5&lt;$O$2,0,IF(B5&lt;$P$2,1,IF(B5&lt;$Q$2,2,IF(B5&lt;$R$2,3,IF(B5&lt;$S$2,4,IF(B5&lt;$T$2,5,IF(B5&lt;$U$2,6,IF(B5&lt;$V$2,7,IF(B5&lt;$W$2,8,IF(B5&lt;$X$2,9,IF(B5&lt;$Y$2,10,IF(B5&lt;$Z$2,11,IF(B5&lt;=$Z$3,12,0)))))))))))))</f>
        <v>0</v>
      </c>
      <c r="M5" s="135" t="s">
        <v>5</v>
      </c>
      <c r="O5" s="252">
        <f>SUMIFS($G$3:$G$47,$L$3:$L$47,1,$F$3:$F$47,"Konto")</f>
        <v>0</v>
      </c>
      <c r="P5" s="252">
        <f>SUMIFS($G$3:$G$47,$L$3:$L$47,2,$F$3:$F$47,"Konto")</f>
        <v>0</v>
      </c>
      <c r="Q5" s="252">
        <f>SUMIFS($G$3:$G$47,$L$3:$L$47,3,$F$3:$F$47,"Konto")</f>
        <v>0</v>
      </c>
      <c r="R5" s="252">
        <f>SUMIFS($G$3:$G$47,$L$3:$L$47,4,$F$3:$F$47,"Konto")</f>
        <v>0</v>
      </c>
      <c r="S5" s="252">
        <f>SUMIFS($G$3:$G$47,$L$3:$L$47,5,$F$3:$F$47,"Konto")</f>
        <v>0</v>
      </c>
      <c r="T5" s="252">
        <f>SUMIFS($G$3:$G$47,$L$3:$L$47,6,$F$3:$F$47,"Konto")</f>
        <v>0</v>
      </c>
      <c r="U5" s="252">
        <f>SUMIFS($G$3:$G$47,$L$3:$L$47,7,$F$3:$F$47,"Konto")</f>
        <v>0</v>
      </c>
      <c r="V5" s="252">
        <f>SUMIFS($G$3:$G$47,$L$3:$L$47,8,$F$3:$F$47,"Konto")</f>
        <v>0</v>
      </c>
      <c r="W5" s="252">
        <f>SUMIFS($G$3:$G$47,$L$3:$L$47,9,$F$3:$F$47,"Konto")</f>
        <v>0</v>
      </c>
      <c r="X5" s="252">
        <f>SUMIFS($G$3:$G$47,$L$3:$L$47,10,$F$3:$F$47,"Konto")</f>
        <v>0</v>
      </c>
      <c r="Y5" s="252">
        <f>SUMIFS($G$3:$G$47,$L$3:$L$47,11,$F$3:$F$47,"Konto")</f>
        <v>0</v>
      </c>
      <c r="Z5" s="252">
        <f>SUMIFS($G$3:$G$47,$L$3:$L$47,12,$F$3:$F$47,"Konto")</f>
        <v>0</v>
      </c>
      <c r="AA5" s="253">
        <f>SUM(O5:Z5)</f>
        <v>0</v>
      </c>
      <c r="AB5" s="254" t="s">
        <v>140</v>
      </c>
    </row>
    <row r="6" spans="1:28" ht="13.35" customHeight="1">
      <c r="A6" s="50" t="s">
        <v>5</v>
      </c>
      <c r="B6" s="141"/>
      <c r="C6" s="80"/>
      <c r="D6" s="93"/>
      <c r="E6" s="226"/>
      <c r="F6" s="89"/>
      <c r="G6" s="81"/>
      <c r="H6" s="82"/>
      <c r="I6" s="83" t="str">
        <f t="shared" si="2"/>
        <v/>
      </c>
      <c r="J6" s="361" t="str">
        <f t="shared" si="3"/>
        <v/>
      </c>
      <c r="K6" s="200">
        <v>3</v>
      </c>
      <c r="L6" s="133">
        <f t="shared" si="4"/>
        <v>0</v>
      </c>
      <c r="M6" s="135" t="s">
        <v>5</v>
      </c>
      <c r="N6" s="190"/>
      <c r="O6" s="252">
        <f>SUMIFS($G$3:$G$47,$L$3:$L$47,1,$F$3:$F$47,"Kreditkarte")</f>
        <v>0</v>
      </c>
      <c r="P6" s="252">
        <f>SUMIFS($G$3:$G$47,$L$3:$L$47,2,$F$3:$F$47,"Kreditkarte")</f>
        <v>0</v>
      </c>
      <c r="Q6" s="252">
        <f>SUMIFS($G$3:$G$47,$L$3:$L$47,3,$F$3:$F$47,"Kreditkarte")</f>
        <v>0</v>
      </c>
      <c r="R6" s="252">
        <f>SUMIFS($G$3:$G$47,$L$3:$L$47,4,$F$3:$F$47,"Kreditkarte")</f>
        <v>0</v>
      </c>
      <c r="S6" s="252">
        <f>SUMIFS($G$3:$G$47,$L$3:$L$47,5,$F$3:$F$47,"Kreditkarte")</f>
        <v>0</v>
      </c>
      <c r="T6" s="252">
        <f>SUMIFS($G$3:$G$47,$L$3:$L$47,6,$F$3:$F$47,"Kreditkarte")</f>
        <v>0</v>
      </c>
      <c r="U6" s="252">
        <f>SUMIFS($G$3:$G$47,$L$3:$L$47,7,$F$3:$F$47,"Kreditkarte")</f>
        <v>0</v>
      </c>
      <c r="V6" s="252">
        <f>SUMIFS($G$3:$G$47,$L$3:$L$47,8,$F$3:$F$47,"Kreditkarte")</f>
        <v>0</v>
      </c>
      <c r="W6" s="252">
        <f>SUMIFS($G$3:$G$47,$L$3:$L$47,9,$F$3:$F$47,"Kreditkarte")</f>
        <v>0</v>
      </c>
      <c r="X6" s="252">
        <f>SUMIFS($G$3:$G$47,$L$3:$L$47,10,$F$3:$F$47,"Kreditkarte")</f>
        <v>0</v>
      </c>
      <c r="Y6" s="252">
        <f>SUMIFS($G$3:$G$47,$L$3:$L$47,11,$F$3:$F$47,"Kreditkarte")</f>
        <v>0</v>
      </c>
      <c r="Z6" s="252">
        <f>SUMIFS($G$3:$G$47,$L$3:$L$47,12,$F$3:$F$47,"Kreditkarte")</f>
        <v>0</v>
      </c>
      <c r="AA6" s="255">
        <f t="shared" ref="AA6:AA8" si="5">SUM(O6:Z6)</f>
        <v>0</v>
      </c>
      <c r="AB6" s="256" t="s">
        <v>142</v>
      </c>
    </row>
    <row r="7" spans="1:28" ht="13.35" customHeight="1">
      <c r="A7" s="50" t="s">
        <v>5</v>
      </c>
      <c r="B7" s="141"/>
      <c r="C7" s="80"/>
      <c r="D7" s="93"/>
      <c r="E7" s="226"/>
      <c r="F7" s="89"/>
      <c r="G7" s="81"/>
      <c r="H7" s="82"/>
      <c r="I7" s="83" t="str">
        <f t="shared" si="2"/>
        <v/>
      </c>
      <c r="J7" s="361" t="str">
        <f t="shared" si="3"/>
        <v/>
      </c>
      <c r="K7" s="200">
        <v>4</v>
      </c>
      <c r="L7" s="133">
        <f t="shared" si="4"/>
        <v>0</v>
      </c>
      <c r="M7" s="135" t="s">
        <v>5</v>
      </c>
      <c r="O7" s="252">
        <f>SUMIFS($G$3:$G$47,$L$3:$L$47,1,$F$3:$F$47,"Geldbeutel")</f>
        <v>0</v>
      </c>
      <c r="P7" s="252">
        <f>SUMIFS($G$3:$G$47,$L$3:$L$47,2,$F$3:$F$47,"Geldbeutel")</f>
        <v>0</v>
      </c>
      <c r="Q7" s="252">
        <f>SUMIFS($G$3:$G$47,$L$3:$L$47,3,$F$3:$F$47,"Geldbeutel")</f>
        <v>0</v>
      </c>
      <c r="R7" s="252">
        <f>SUMIFS($G$3:$G$47,$L$3:$L$47,4,$F$3:$F$47,"Geldbeutel")</f>
        <v>0</v>
      </c>
      <c r="S7" s="252">
        <f>SUMIFS($G$3:$G$47,$L$3:$L$47,5,$F$3:$F$47,"Geldbeutel")</f>
        <v>0</v>
      </c>
      <c r="T7" s="252">
        <f>SUMIFS($G$3:$G$47,$L$3:$L$47,6,$F$3:$F$47,"Geldbeutel")</f>
        <v>0</v>
      </c>
      <c r="U7" s="252">
        <f>SUMIFS($G$3:$G$47,$L$3:$L$47,7,$F$3:$F$47,"Geldbeutel")</f>
        <v>0</v>
      </c>
      <c r="V7" s="252">
        <f>SUMIFS($G$3:$G$47,$L$3:$L$47,8,$F$3:$F$47,"Geldbeutel")</f>
        <v>0</v>
      </c>
      <c r="W7" s="252">
        <f>SUMIFS($G$3:$G$47,$L$3:$L$47,9,$F$3:$F$47,"Geldbeutel")</f>
        <v>0</v>
      </c>
      <c r="X7" s="252">
        <f>SUMIFS($G$3:$G$47,$L$3:$L$47,10,$F$3:$F$47,"Geldbeutel")</f>
        <v>0</v>
      </c>
      <c r="Y7" s="252">
        <f>SUMIFS($G$3:$G$47,$L$3:$L$47,11,$F$3:$F$47,"Geldbeutel")</f>
        <v>0</v>
      </c>
      <c r="Z7" s="252">
        <f>SUMIFS($G$3:$G$47,$L$3:$L$47,12,$F$3:$F$47,"Geldbeutel")</f>
        <v>0</v>
      </c>
      <c r="AA7" s="253">
        <f t="shared" si="5"/>
        <v>0</v>
      </c>
      <c r="AB7" s="254" t="s">
        <v>139</v>
      </c>
    </row>
    <row r="8" spans="1:28" ht="13.35" customHeight="1">
      <c r="A8" s="50" t="s">
        <v>5</v>
      </c>
      <c r="B8" s="141"/>
      <c r="C8" s="80"/>
      <c r="D8" s="93"/>
      <c r="E8" s="226"/>
      <c r="F8" s="89"/>
      <c r="G8" s="81"/>
      <c r="H8" s="82"/>
      <c r="I8" s="83" t="str">
        <f t="shared" si="2"/>
        <v/>
      </c>
      <c r="J8" s="361" t="str">
        <f t="shared" si="3"/>
        <v/>
      </c>
      <c r="K8" s="200">
        <v>5</v>
      </c>
      <c r="L8" s="133">
        <f t="shared" si="4"/>
        <v>0</v>
      </c>
      <c r="M8" s="135" t="s">
        <v>5</v>
      </c>
      <c r="O8" s="252">
        <f>SUMIFS($G$3:$G$47,$L$3:$L$47,1,$F$3:$F$47,"X")</f>
        <v>0</v>
      </c>
      <c r="P8" s="252">
        <f>SUMIFS($G$3:$G$47,$L$3:$L$47,2,$F$3:$F$47,"X")</f>
        <v>0</v>
      </c>
      <c r="Q8" s="252">
        <f>SUMIFS($G$3:$G$47,$L$3:$L$47,3,$F$3:$F$47,"X")</f>
        <v>0</v>
      </c>
      <c r="R8" s="252">
        <f>SUMIFS($G$3:$G$47,$L$3:$L$47,4,$F$3:$F$47,"X")</f>
        <v>0</v>
      </c>
      <c r="S8" s="252">
        <f>SUMIFS($G$3:$G$47,$L$3:$L$47,5,$F$3:$F$47,"X")</f>
        <v>0</v>
      </c>
      <c r="T8" s="252">
        <f>SUMIFS($G$3:$G$47,$L$3:$L$47,6,$F$3:$F$47,"X")</f>
        <v>0</v>
      </c>
      <c r="U8" s="252">
        <f>SUMIFS($G$3:$G$47,$L$3:$L$47,7,$F$3:$F$47,"X")</f>
        <v>0</v>
      </c>
      <c r="V8" s="252">
        <f>SUMIFS($G$3:$G$47,$L$3:$L$47,8,$F$3:$F$47,"X")</f>
        <v>0</v>
      </c>
      <c r="W8" s="252">
        <f>SUMIFS($G$3:$G$47,$L$3:$L$47,9,$F$3:$F$47,"X")</f>
        <v>0</v>
      </c>
      <c r="X8" s="252">
        <f>SUMIFS($G$3:$G$47,$L$3:$L$47,10,$F$3:$F$47,"X")</f>
        <v>0</v>
      </c>
      <c r="Y8" s="252">
        <f>SUMIFS($G$3:$G$47,$L$3:$L$47,11,$F$3:$F$47,"X")</f>
        <v>0</v>
      </c>
      <c r="Z8" s="252">
        <f>SUMIFS($G$3:$G$47,$L$3:$L$47,12,$F$3:$F$47,"X")</f>
        <v>0</v>
      </c>
      <c r="AA8" s="255">
        <f t="shared" si="5"/>
        <v>0</v>
      </c>
      <c r="AB8" s="256" t="s">
        <v>192</v>
      </c>
    </row>
    <row r="9" spans="1:28" ht="13.35" customHeight="1">
      <c r="A9" s="50" t="s">
        <v>5</v>
      </c>
      <c r="B9" s="141"/>
      <c r="C9" s="80"/>
      <c r="D9" s="93"/>
      <c r="E9" s="226"/>
      <c r="F9" s="89"/>
      <c r="G9" s="81"/>
      <c r="H9" s="82"/>
      <c r="I9" s="83" t="str">
        <f t="shared" si="2"/>
        <v/>
      </c>
      <c r="J9" s="361" t="str">
        <f t="shared" si="3"/>
        <v/>
      </c>
      <c r="K9" s="200">
        <v>6</v>
      </c>
      <c r="L9" s="133">
        <f t="shared" si="4"/>
        <v>0</v>
      </c>
      <c r="M9" s="135" t="s">
        <v>5</v>
      </c>
      <c r="N9" s="191">
        <f>IF(OR(AND(AA14&lt;&gt;0,B48="x"),(O14+AA13)&lt;&gt;H48),1,0)</f>
        <v>0</v>
      </c>
      <c r="O9" s="257">
        <f>SUM(O5:O8)</f>
        <v>0</v>
      </c>
      <c r="P9" s="257">
        <f t="shared" ref="P9:Z9" si="6">SUM(P5:P8)</f>
        <v>0</v>
      </c>
      <c r="Q9" s="257">
        <f t="shared" si="6"/>
        <v>0</v>
      </c>
      <c r="R9" s="257">
        <f t="shared" si="6"/>
        <v>0</v>
      </c>
      <c r="S9" s="257">
        <f t="shared" si="6"/>
        <v>0</v>
      </c>
      <c r="T9" s="257">
        <f t="shared" si="6"/>
        <v>0</v>
      </c>
      <c r="U9" s="257">
        <f t="shared" si="6"/>
        <v>0</v>
      </c>
      <c r="V9" s="257">
        <f t="shared" si="6"/>
        <v>0</v>
      </c>
      <c r="W9" s="257">
        <f t="shared" si="6"/>
        <v>0</v>
      </c>
      <c r="X9" s="257">
        <f t="shared" si="6"/>
        <v>0</v>
      </c>
      <c r="Y9" s="257">
        <f t="shared" si="6"/>
        <v>0</v>
      </c>
      <c r="Z9" s="257">
        <f t="shared" si="6"/>
        <v>0</v>
      </c>
      <c r="AA9" s="1211" t="s">
        <v>197</v>
      </c>
      <c r="AB9" s="1212"/>
    </row>
    <row r="10" spans="1:28" ht="13.35" customHeight="1">
      <c r="A10" s="50" t="s">
        <v>5</v>
      </c>
      <c r="B10" s="141"/>
      <c r="C10" s="80"/>
      <c r="D10" s="93"/>
      <c r="E10" s="226"/>
      <c r="F10" s="89"/>
      <c r="G10" s="81"/>
      <c r="H10" s="82"/>
      <c r="I10" s="83" t="str">
        <f t="shared" si="2"/>
        <v/>
      </c>
      <c r="J10" s="361" t="str">
        <f t="shared" si="3"/>
        <v/>
      </c>
      <c r="K10" s="200">
        <v>7</v>
      </c>
      <c r="L10" s="133">
        <f t="shared" si="4"/>
        <v>0</v>
      </c>
      <c r="M10" s="135" t="s">
        <v>5</v>
      </c>
      <c r="N10" s="259">
        <f>IF(O10+AA10&lt;&gt;G48,1,0)</f>
        <v>0</v>
      </c>
      <c r="O10" s="1230">
        <f>SUM(O5:Z8)</f>
        <v>0</v>
      </c>
      <c r="P10" s="1231"/>
      <c r="Q10" s="1231"/>
      <c r="R10" s="1231"/>
      <c r="S10" s="1231"/>
      <c r="T10" s="1231"/>
      <c r="U10" s="1231"/>
      <c r="V10" s="1231"/>
      <c r="W10" s="1231"/>
      <c r="X10" s="1231"/>
      <c r="Y10" s="1231"/>
      <c r="Z10" s="1232"/>
      <c r="AA10" s="292">
        <f>+G48-AA7-AA6-AA5-AA8</f>
        <v>0</v>
      </c>
      <c r="AB10" s="293" t="s">
        <v>205</v>
      </c>
    </row>
    <row r="11" spans="1:28" ht="13.35" customHeight="1">
      <c r="A11" s="50" t="s">
        <v>5</v>
      </c>
      <c r="B11" s="141"/>
      <c r="C11" s="80"/>
      <c r="D11" s="93"/>
      <c r="E11" s="226"/>
      <c r="F11" s="89"/>
      <c r="G11" s="81"/>
      <c r="H11" s="82"/>
      <c r="I11" s="83" t="str">
        <f t="shared" si="2"/>
        <v/>
      </c>
      <c r="J11" s="361" t="str">
        <f t="shared" si="3"/>
        <v/>
      </c>
      <c r="K11" s="200">
        <v>8</v>
      </c>
      <c r="L11" s="133">
        <f t="shared" si="4"/>
        <v>0</v>
      </c>
      <c r="M11" s="135" t="s">
        <v>5</v>
      </c>
      <c r="O11" s="1219" t="str">
        <f>IF(N4&gt;0,"Fehler!","")</f>
        <v/>
      </c>
      <c r="P11" s="1219"/>
      <c r="Q11" s="1219"/>
      <c r="R11" s="1219"/>
      <c r="S11" s="1219"/>
      <c r="T11" s="1219"/>
      <c r="U11" s="1219"/>
      <c r="V11" s="1219"/>
      <c r="W11" s="1219"/>
      <c r="X11" s="1219"/>
      <c r="Y11" s="1219"/>
      <c r="Z11" s="1219"/>
    </row>
    <row r="12" spans="1:28" ht="13.35" customHeight="1">
      <c r="A12" s="50" t="s">
        <v>5</v>
      </c>
      <c r="B12" s="141"/>
      <c r="C12" s="80"/>
      <c r="D12" s="93"/>
      <c r="E12" s="226"/>
      <c r="F12" s="89"/>
      <c r="G12" s="81"/>
      <c r="H12" s="82"/>
      <c r="I12" s="83" t="str">
        <f t="shared" si="2"/>
        <v/>
      </c>
      <c r="J12" s="361" t="str">
        <f t="shared" si="3"/>
        <v/>
      </c>
      <c r="K12" s="200">
        <v>9</v>
      </c>
      <c r="L12" s="133">
        <f t="shared" si="4"/>
        <v>0</v>
      </c>
      <c r="M12" s="135" t="s">
        <v>5</v>
      </c>
      <c r="O12" s="203" t="s">
        <v>36</v>
      </c>
      <c r="P12" s="203" t="s">
        <v>37</v>
      </c>
      <c r="Q12" s="203" t="s">
        <v>38</v>
      </c>
      <c r="R12" s="203" t="s">
        <v>39</v>
      </c>
      <c r="S12" s="203" t="s">
        <v>40</v>
      </c>
      <c r="T12" s="203" t="s">
        <v>41</v>
      </c>
      <c r="U12" s="203" t="s">
        <v>42</v>
      </c>
      <c r="V12" s="203" t="s">
        <v>43</v>
      </c>
      <c r="W12" s="203" t="s">
        <v>44</v>
      </c>
      <c r="X12" s="203" t="s">
        <v>45</v>
      </c>
      <c r="Y12" s="203" t="s">
        <v>46</v>
      </c>
      <c r="Z12" s="203" t="s">
        <v>47</v>
      </c>
      <c r="AA12" s="221">
        <f>IF(O14+AA13&lt;&gt;H48,1,0)</f>
        <v>0</v>
      </c>
    </row>
    <row r="13" spans="1:28" ht="13.35" customHeight="1">
      <c r="A13" s="50" t="s">
        <v>5</v>
      </c>
      <c r="B13" s="141"/>
      <c r="C13" s="80"/>
      <c r="D13" s="93"/>
      <c r="E13" s="226"/>
      <c r="F13" s="89"/>
      <c r="G13" s="81"/>
      <c r="H13" s="82"/>
      <c r="I13" s="83" t="str">
        <f t="shared" si="2"/>
        <v/>
      </c>
      <c r="J13" s="361" t="str">
        <f t="shared" si="3"/>
        <v/>
      </c>
      <c r="K13" s="200">
        <v>10</v>
      </c>
      <c r="L13" s="133">
        <f t="shared" si="4"/>
        <v>0</v>
      </c>
      <c r="M13" s="135" t="s">
        <v>5</v>
      </c>
      <c r="O13" s="187">
        <f>SUMIF($L$3:$L$47,1,$I$3:$I$47)</f>
        <v>0</v>
      </c>
      <c r="P13" s="187">
        <f>SUMIF($L$3:$L$47,2,$I$3:$I$47)</f>
        <v>0</v>
      </c>
      <c r="Q13" s="187">
        <f>SUMIF($L$3:$L$47,3,$I$3:$I$47)</f>
        <v>0</v>
      </c>
      <c r="R13" s="187">
        <f>SUMIF($L$3:$L$47,4,$I$3:$I$47)</f>
        <v>0</v>
      </c>
      <c r="S13" s="187">
        <f>SUMIF($L$3:$L$47,5,$I$3:$I$47)</f>
        <v>0</v>
      </c>
      <c r="T13" s="187">
        <f>SUMIF($L$3:$L$47,6,$I$3:$I$47)</f>
        <v>0</v>
      </c>
      <c r="U13" s="187">
        <f>SUMIF($L$3:$L$47,7,$I$3:$I$47)</f>
        <v>0</v>
      </c>
      <c r="V13" s="187">
        <f>SUMIF($L$3:$L$47,8,$I$3:$I$47)</f>
        <v>0</v>
      </c>
      <c r="W13" s="187">
        <f>SUMIF($L$3:$L$47,9,$I$3:$I$47)</f>
        <v>0</v>
      </c>
      <c r="X13" s="187">
        <f>SUMIF($L$3:$L$47,10,$I$3:$I$47)</f>
        <v>0</v>
      </c>
      <c r="Y13" s="187">
        <f>SUMIF($L$3:$L$47,11,$I$3:$I$47)</f>
        <v>0</v>
      </c>
      <c r="Z13" s="187">
        <f>SUMIF($L$3:$L$47,12,$I$3:$I$47)</f>
        <v>0</v>
      </c>
      <c r="AA13" s="1220">
        <f>SUMIF($L$3:$L$47,0,$I$3:$I$47)</f>
        <v>0</v>
      </c>
      <c r="AB13" s="1221"/>
    </row>
    <row r="14" spans="1:28" ht="13.35" customHeight="1">
      <c r="A14" s="50" t="s">
        <v>5</v>
      </c>
      <c r="B14" s="141"/>
      <c r="C14" s="80"/>
      <c r="D14" s="93"/>
      <c r="E14" s="226"/>
      <c r="F14" s="89"/>
      <c r="G14" s="81"/>
      <c r="H14" s="82"/>
      <c r="I14" s="83" t="str">
        <f t="shared" si="2"/>
        <v/>
      </c>
      <c r="J14" s="361" t="str">
        <f t="shared" si="3"/>
        <v/>
      </c>
      <c r="K14" s="200">
        <v>11</v>
      </c>
      <c r="L14" s="133">
        <f t="shared" si="4"/>
        <v>0</v>
      </c>
      <c r="M14" s="135" t="s">
        <v>5</v>
      </c>
      <c r="O14" s="1299">
        <f>SUM(O13:Z13)</f>
        <v>0</v>
      </c>
      <c r="P14" s="1300"/>
      <c r="Q14" s="1300"/>
      <c r="R14" s="1300"/>
      <c r="S14" s="1300"/>
      <c r="T14" s="1300"/>
      <c r="U14" s="1300"/>
      <c r="V14" s="1300"/>
      <c r="W14" s="1300"/>
      <c r="X14" s="1300"/>
      <c r="Y14" s="1300"/>
      <c r="Z14" s="1301"/>
      <c r="AA14" s="1222">
        <f>SUM(O13:Z13)+AA13</f>
        <v>0</v>
      </c>
      <c r="AB14" s="1223"/>
    </row>
    <row r="15" spans="1:28" ht="13.35" customHeight="1">
      <c r="A15" s="50" t="s">
        <v>5</v>
      </c>
      <c r="B15" s="141"/>
      <c r="C15" s="260"/>
      <c r="D15" s="93"/>
      <c r="E15" s="226"/>
      <c r="F15" s="89"/>
      <c r="G15" s="81"/>
      <c r="H15" s="82"/>
      <c r="I15" s="83" t="str">
        <f t="shared" si="2"/>
        <v/>
      </c>
      <c r="J15" s="361" t="str">
        <f t="shared" si="3"/>
        <v/>
      </c>
      <c r="K15" s="200">
        <v>12</v>
      </c>
      <c r="L15" s="133">
        <f t="shared" si="4"/>
        <v>0</v>
      </c>
      <c r="M15" s="135" t="s">
        <v>5</v>
      </c>
      <c r="O15" s="244"/>
      <c r="P15" s="244"/>
      <c r="Q15" s="244"/>
      <c r="R15" s="244"/>
      <c r="S15" s="244"/>
      <c r="T15" s="244"/>
      <c r="U15" s="244"/>
      <c r="V15" s="244"/>
      <c r="W15" s="244"/>
      <c r="X15" s="244"/>
      <c r="Y15" s="244"/>
      <c r="Z15" s="244"/>
      <c r="AA15" s="244"/>
      <c r="AB15" s="244"/>
    </row>
    <row r="16" spans="1:28" ht="13.35" customHeight="1">
      <c r="A16" s="50" t="s">
        <v>5</v>
      </c>
      <c r="B16" s="141"/>
      <c r="C16" s="80"/>
      <c r="D16" s="93"/>
      <c r="E16" s="226"/>
      <c r="F16" s="89"/>
      <c r="G16" s="81"/>
      <c r="H16" s="82"/>
      <c r="I16" s="83" t="str">
        <f t="shared" si="2"/>
        <v/>
      </c>
      <c r="J16" s="361" t="str">
        <f t="shared" si="3"/>
        <v/>
      </c>
      <c r="K16" s="200">
        <v>13</v>
      </c>
      <c r="L16" s="133">
        <f t="shared" si="4"/>
        <v>0</v>
      </c>
      <c r="M16" s="135" t="s">
        <v>5</v>
      </c>
      <c r="O16" s="244"/>
      <c r="P16" s="244"/>
      <c r="Q16" s="244"/>
      <c r="R16" s="244"/>
      <c r="S16" s="244"/>
      <c r="T16" s="244"/>
      <c r="U16" s="244"/>
      <c r="V16" s="244"/>
      <c r="W16" s="244"/>
      <c r="X16" s="244"/>
      <c r="Y16" s="244"/>
      <c r="Z16" s="244"/>
      <c r="AA16" s="244"/>
      <c r="AB16" s="244"/>
    </row>
    <row r="17" spans="1:28" ht="13.35" customHeight="1">
      <c r="A17" s="50" t="s">
        <v>5</v>
      </c>
      <c r="B17" s="141"/>
      <c r="C17" s="80"/>
      <c r="D17" s="93"/>
      <c r="E17" s="226"/>
      <c r="F17" s="89"/>
      <c r="G17" s="81"/>
      <c r="H17" s="82"/>
      <c r="I17" s="83" t="str">
        <f t="shared" si="2"/>
        <v/>
      </c>
      <c r="J17" s="361" t="str">
        <f t="shared" si="3"/>
        <v/>
      </c>
      <c r="K17" s="200">
        <v>14</v>
      </c>
      <c r="L17" s="133">
        <f t="shared" si="4"/>
        <v>0</v>
      </c>
      <c r="M17" s="135" t="s">
        <v>5</v>
      </c>
      <c r="O17" s="244"/>
      <c r="P17" s="244"/>
      <c r="Q17" s="244"/>
      <c r="R17" s="244"/>
      <c r="S17" s="244"/>
      <c r="T17" s="244"/>
      <c r="U17" s="244"/>
      <c r="V17" s="244"/>
      <c r="W17" s="244"/>
      <c r="X17" s="244"/>
      <c r="Y17" s="244"/>
      <c r="Z17" s="244"/>
      <c r="AA17" s="244"/>
      <c r="AB17" s="244"/>
    </row>
    <row r="18" spans="1:28" ht="13.35" customHeight="1">
      <c r="A18" s="50" t="s">
        <v>5</v>
      </c>
      <c r="B18" s="141"/>
      <c r="C18" s="80"/>
      <c r="D18" s="93"/>
      <c r="E18" s="226"/>
      <c r="F18" s="89"/>
      <c r="G18" s="81"/>
      <c r="H18" s="82"/>
      <c r="I18" s="83" t="str">
        <f t="shared" si="2"/>
        <v/>
      </c>
      <c r="J18" s="361" t="str">
        <f t="shared" si="3"/>
        <v/>
      </c>
      <c r="K18" s="200">
        <v>15</v>
      </c>
      <c r="L18" s="133">
        <f t="shared" si="4"/>
        <v>0</v>
      </c>
      <c r="M18" s="135" t="s">
        <v>5</v>
      </c>
      <c r="O18" s="244"/>
      <c r="P18" s="244"/>
      <c r="Q18" s="244"/>
      <c r="R18" s="244"/>
      <c r="S18" s="244"/>
      <c r="T18" s="244"/>
      <c r="U18" s="244"/>
      <c r="V18" s="244"/>
      <c r="W18" s="244"/>
      <c r="X18" s="244"/>
      <c r="Y18" s="244"/>
      <c r="Z18" s="244"/>
      <c r="AA18" s="244"/>
      <c r="AB18" s="244"/>
    </row>
    <row r="19" spans="1:28" ht="13.35" customHeight="1">
      <c r="A19" s="50" t="s">
        <v>5</v>
      </c>
      <c r="B19" s="141"/>
      <c r="C19" s="80"/>
      <c r="D19" s="93"/>
      <c r="E19" s="226"/>
      <c r="F19" s="89"/>
      <c r="G19" s="81"/>
      <c r="H19" s="82"/>
      <c r="I19" s="83" t="str">
        <f t="shared" si="2"/>
        <v/>
      </c>
      <c r="J19" s="361" t="str">
        <f t="shared" si="3"/>
        <v/>
      </c>
      <c r="K19" s="200">
        <v>16</v>
      </c>
      <c r="L19" s="133">
        <f t="shared" si="4"/>
        <v>0</v>
      </c>
      <c r="M19" s="135" t="s">
        <v>5</v>
      </c>
      <c r="O19" s="244"/>
      <c r="P19" s="244"/>
      <c r="Q19" s="244"/>
      <c r="R19" s="244"/>
      <c r="S19" s="244"/>
      <c r="T19" s="244"/>
      <c r="U19" s="244"/>
      <c r="V19" s="244"/>
      <c r="W19" s="244"/>
      <c r="X19" s="244"/>
      <c r="Y19" s="244"/>
      <c r="Z19" s="244"/>
      <c r="AA19" s="244"/>
      <c r="AB19" s="244"/>
    </row>
    <row r="20" spans="1:28" ht="13.35" customHeight="1">
      <c r="A20" s="50" t="s">
        <v>5</v>
      </c>
      <c r="B20" s="141"/>
      <c r="C20" s="958"/>
      <c r="D20" s="93"/>
      <c r="E20" s="891"/>
      <c r="F20" s="89"/>
      <c r="G20" s="959"/>
      <c r="H20" s="960"/>
      <c r="I20" s="83" t="str">
        <f t="shared" si="2"/>
        <v/>
      </c>
      <c r="J20" s="361" t="str">
        <f t="shared" si="3"/>
        <v/>
      </c>
      <c r="K20" s="200">
        <v>17</v>
      </c>
      <c r="L20" s="133">
        <f t="shared" si="4"/>
        <v>0</v>
      </c>
      <c r="M20" s="135" t="s">
        <v>5</v>
      </c>
      <c r="O20" s="244"/>
      <c r="P20" s="244"/>
      <c r="Q20" s="244"/>
      <c r="R20" s="244"/>
      <c r="S20" s="244"/>
      <c r="T20" s="244"/>
      <c r="U20" s="244"/>
      <c r="V20" s="244"/>
      <c r="W20" s="244"/>
      <c r="X20" s="244"/>
      <c r="Y20" s="244"/>
      <c r="Z20" s="244"/>
      <c r="AA20" s="244"/>
      <c r="AB20" s="244"/>
    </row>
    <row r="21" spans="1:28" ht="13.35" customHeight="1">
      <c r="A21" s="50" t="s">
        <v>5</v>
      </c>
      <c r="B21" s="141"/>
      <c r="C21" s="958"/>
      <c r="D21" s="93"/>
      <c r="E21" s="891"/>
      <c r="F21" s="89"/>
      <c r="G21" s="959"/>
      <c r="H21" s="960"/>
      <c r="I21" s="83" t="str">
        <f t="shared" si="2"/>
        <v/>
      </c>
      <c r="J21" s="361" t="str">
        <f t="shared" si="3"/>
        <v/>
      </c>
      <c r="K21" s="200">
        <v>18</v>
      </c>
      <c r="L21" s="133">
        <f t="shared" si="4"/>
        <v>0</v>
      </c>
      <c r="M21" s="135" t="s">
        <v>5</v>
      </c>
      <c r="O21" s="244"/>
      <c r="P21" s="244"/>
      <c r="Q21" s="244"/>
      <c r="R21" s="244"/>
      <c r="S21" s="244"/>
      <c r="T21" s="244"/>
      <c r="U21" s="244"/>
      <c r="V21" s="244"/>
      <c r="W21" s="244"/>
      <c r="X21" s="244"/>
      <c r="Y21" s="244"/>
      <c r="Z21" s="244"/>
      <c r="AA21" s="244"/>
      <c r="AB21" s="244"/>
    </row>
    <row r="22" spans="1:28" ht="13.35" customHeight="1">
      <c r="A22" s="50" t="s">
        <v>5</v>
      </c>
      <c r="B22" s="141"/>
      <c r="C22" s="958"/>
      <c r="D22" s="93"/>
      <c r="E22" s="891"/>
      <c r="F22" s="89"/>
      <c r="G22" s="959"/>
      <c r="H22" s="960"/>
      <c r="I22" s="83" t="str">
        <f t="shared" si="2"/>
        <v/>
      </c>
      <c r="J22" s="361" t="str">
        <f t="shared" si="3"/>
        <v/>
      </c>
      <c r="K22" s="200">
        <v>19</v>
      </c>
      <c r="L22" s="133">
        <f t="shared" si="4"/>
        <v>0</v>
      </c>
      <c r="M22" s="135" t="s">
        <v>5</v>
      </c>
      <c r="O22" s="244"/>
      <c r="P22" s="244"/>
      <c r="Q22" s="244"/>
      <c r="R22" s="244"/>
      <c r="S22" s="244"/>
      <c r="T22" s="244"/>
      <c r="U22" s="244"/>
      <c r="V22" s="244"/>
      <c r="W22" s="244"/>
      <c r="X22" s="244"/>
      <c r="Y22" s="244"/>
      <c r="Z22" s="244"/>
      <c r="AA22" s="244"/>
      <c r="AB22" s="244"/>
    </row>
    <row r="23" spans="1:28" ht="13.35" customHeight="1">
      <c r="A23" s="50" t="s">
        <v>5</v>
      </c>
      <c r="B23" s="141"/>
      <c r="C23" s="958"/>
      <c r="D23" s="93"/>
      <c r="E23" s="891"/>
      <c r="F23" s="89"/>
      <c r="G23" s="959"/>
      <c r="H23" s="960"/>
      <c r="I23" s="83" t="str">
        <f t="shared" si="2"/>
        <v/>
      </c>
      <c r="J23" s="361" t="str">
        <f t="shared" si="3"/>
        <v/>
      </c>
      <c r="K23" s="200">
        <v>20</v>
      </c>
      <c r="L23" s="133">
        <f t="shared" si="4"/>
        <v>0</v>
      </c>
      <c r="M23" s="135" t="s">
        <v>5</v>
      </c>
      <c r="O23" s="244"/>
      <c r="P23" s="244"/>
      <c r="Q23" s="244"/>
      <c r="R23" s="244"/>
      <c r="S23" s="244"/>
      <c r="T23" s="244"/>
      <c r="U23" s="244"/>
      <c r="V23" s="244"/>
      <c r="W23" s="244"/>
      <c r="X23" s="244"/>
      <c r="Y23" s="244"/>
      <c r="Z23" s="244"/>
      <c r="AA23" s="244"/>
      <c r="AB23" s="244"/>
    </row>
    <row r="24" spans="1:28" ht="13.35" customHeight="1">
      <c r="A24" s="50" t="s">
        <v>5</v>
      </c>
      <c r="B24" s="141"/>
      <c r="C24" s="958"/>
      <c r="D24" s="93"/>
      <c r="E24" s="891"/>
      <c r="F24" s="89"/>
      <c r="G24" s="959"/>
      <c r="H24" s="960"/>
      <c r="I24" s="83" t="str">
        <f t="shared" si="2"/>
        <v/>
      </c>
      <c r="J24" s="361" t="str">
        <f t="shared" si="3"/>
        <v/>
      </c>
      <c r="K24" s="200">
        <v>21</v>
      </c>
      <c r="L24" s="133">
        <f t="shared" si="4"/>
        <v>0</v>
      </c>
      <c r="M24" s="135" t="s">
        <v>5</v>
      </c>
      <c r="O24" s="244"/>
      <c r="P24" s="244"/>
      <c r="Q24" s="244"/>
      <c r="R24" s="244"/>
      <c r="S24" s="244"/>
      <c r="T24" s="244"/>
      <c r="U24" s="244"/>
      <c r="V24" s="244"/>
      <c r="W24" s="244"/>
      <c r="X24" s="244"/>
      <c r="Y24" s="244"/>
      <c r="Z24" s="244"/>
      <c r="AA24" s="244"/>
      <c r="AB24" s="244"/>
    </row>
    <row r="25" spans="1:28" ht="13.35" customHeight="1">
      <c r="A25" s="50" t="s">
        <v>5</v>
      </c>
      <c r="B25" s="141"/>
      <c r="C25" s="958"/>
      <c r="D25" s="93"/>
      <c r="E25" s="891"/>
      <c r="F25" s="89"/>
      <c r="G25" s="959"/>
      <c r="H25" s="960"/>
      <c r="I25" s="83" t="str">
        <f t="shared" si="2"/>
        <v/>
      </c>
      <c r="J25" s="361" t="str">
        <f t="shared" si="3"/>
        <v/>
      </c>
      <c r="K25" s="200">
        <v>22</v>
      </c>
      <c r="L25" s="133">
        <f t="shared" si="4"/>
        <v>0</v>
      </c>
      <c r="M25" s="135" t="s">
        <v>5</v>
      </c>
      <c r="O25" s="244"/>
      <c r="P25" s="244"/>
      <c r="Q25" s="244"/>
      <c r="R25" s="244"/>
      <c r="S25" s="244"/>
      <c r="T25" s="244"/>
      <c r="U25" s="244"/>
      <c r="V25" s="244"/>
      <c r="W25" s="244"/>
      <c r="X25" s="244"/>
      <c r="Y25" s="244"/>
      <c r="Z25" s="244"/>
      <c r="AA25" s="244"/>
      <c r="AB25" s="244"/>
    </row>
    <row r="26" spans="1:28" ht="13.35" customHeight="1">
      <c r="A26" s="50" t="s">
        <v>5</v>
      </c>
      <c r="B26" s="141"/>
      <c r="C26" s="958"/>
      <c r="D26" s="93"/>
      <c r="E26" s="891"/>
      <c r="F26" s="89"/>
      <c r="G26" s="959"/>
      <c r="H26" s="960"/>
      <c r="I26" s="83" t="str">
        <f t="shared" si="2"/>
        <v/>
      </c>
      <c r="J26" s="361" t="str">
        <f t="shared" si="3"/>
        <v/>
      </c>
      <c r="K26" s="200">
        <v>23</v>
      </c>
      <c r="L26" s="133">
        <f t="shared" si="4"/>
        <v>0</v>
      </c>
      <c r="M26" s="135" t="s">
        <v>5</v>
      </c>
      <c r="O26" s="244"/>
      <c r="P26" s="244"/>
      <c r="Q26" s="244"/>
      <c r="R26" s="244"/>
      <c r="S26" s="244"/>
      <c r="T26" s="244"/>
      <c r="U26" s="244"/>
      <c r="V26" s="244"/>
      <c r="W26" s="244"/>
      <c r="X26" s="244"/>
      <c r="Y26" s="244"/>
      <c r="Z26" s="244"/>
      <c r="AA26" s="244"/>
      <c r="AB26" s="244"/>
    </row>
    <row r="27" spans="1:28" ht="13.35" customHeight="1">
      <c r="A27" s="50" t="s">
        <v>5</v>
      </c>
      <c r="B27" s="141"/>
      <c r="C27" s="958"/>
      <c r="D27" s="93"/>
      <c r="E27" s="891"/>
      <c r="F27" s="89"/>
      <c r="G27" s="959"/>
      <c r="H27" s="960"/>
      <c r="I27" s="83" t="str">
        <f t="shared" si="2"/>
        <v/>
      </c>
      <c r="J27" s="361" t="str">
        <f t="shared" si="3"/>
        <v/>
      </c>
      <c r="K27" s="200">
        <v>24</v>
      </c>
      <c r="L27" s="133">
        <f t="shared" si="4"/>
        <v>0</v>
      </c>
      <c r="M27" s="135" t="s">
        <v>5</v>
      </c>
      <c r="O27" s="244"/>
      <c r="P27" s="244"/>
      <c r="Q27" s="244"/>
      <c r="R27" s="244"/>
      <c r="S27" s="244"/>
      <c r="T27" s="244"/>
      <c r="U27" s="244"/>
      <c r="V27" s="244"/>
      <c r="W27" s="244"/>
      <c r="X27" s="244"/>
      <c r="Y27" s="244"/>
      <c r="Z27" s="244"/>
      <c r="AA27" s="244"/>
      <c r="AB27" s="244"/>
    </row>
    <row r="28" spans="1:28" ht="13.35" customHeight="1">
      <c r="A28" s="50" t="s">
        <v>5</v>
      </c>
      <c r="B28" s="141"/>
      <c r="C28" s="958"/>
      <c r="D28" s="93"/>
      <c r="E28" s="891"/>
      <c r="F28" s="89"/>
      <c r="G28" s="959"/>
      <c r="H28" s="960"/>
      <c r="I28" s="83" t="str">
        <f t="shared" si="2"/>
        <v/>
      </c>
      <c r="J28" s="361" t="str">
        <f t="shared" si="3"/>
        <v/>
      </c>
      <c r="K28" s="200">
        <v>25</v>
      </c>
      <c r="L28" s="133">
        <f t="shared" si="4"/>
        <v>0</v>
      </c>
      <c r="M28" s="135" t="s">
        <v>5</v>
      </c>
      <c r="O28" s="244"/>
      <c r="P28" s="244"/>
      <c r="Q28" s="244"/>
      <c r="R28" s="244"/>
      <c r="S28" s="244"/>
      <c r="T28" s="244"/>
      <c r="U28" s="244"/>
      <c r="V28" s="244"/>
      <c r="W28" s="244"/>
      <c r="X28" s="244"/>
      <c r="Y28" s="244"/>
      <c r="Z28" s="244"/>
      <c r="AA28" s="244"/>
      <c r="AB28" s="244"/>
    </row>
    <row r="29" spans="1:28" ht="13.35" customHeight="1">
      <c r="A29" s="50" t="s">
        <v>5</v>
      </c>
      <c r="B29" s="141"/>
      <c r="C29" s="958"/>
      <c r="D29" s="93"/>
      <c r="E29" s="891"/>
      <c r="F29" s="89"/>
      <c r="G29" s="959"/>
      <c r="H29" s="960"/>
      <c r="I29" s="83" t="str">
        <f t="shared" si="2"/>
        <v/>
      </c>
      <c r="J29" s="361" t="str">
        <f t="shared" si="3"/>
        <v/>
      </c>
      <c r="K29" s="200">
        <v>26</v>
      </c>
      <c r="L29" s="133">
        <f t="shared" si="4"/>
        <v>0</v>
      </c>
      <c r="M29" s="135" t="s">
        <v>5</v>
      </c>
      <c r="O29" s="244"/>
      <c r="P29" s="244"/>
      <c r="Q29" s="244"/>
      <c r="R29" s="244"/>
      <c r="S29" s="244"/>
      <c r="T29" s="244"/>
      <c r="U29" s="244"/>
      <c r="V29" s="244"/>
      <c r="W29" s="244"/>
      <c r="X29" s="244"/>
      <c r="Y29" s="244"/>
      <c r="Z29" s="244"/>
      <c r="AA29" s="244"/>
      <c r="AB29" s="244"/>
    </row>
    <row r="30" spans="1:28" ht="13.35" customHeight="1">
      <c r="A30" s="50" t="s">
        <v>5</v>
      </c>
      <c r="B30" s="141"/>
      <c r="C30" s="958"/>
      <c r="D30" s="93"/>
      <c r="E30" s="891"/>
      <c r="F30" s="89"/>
      <c r="G30" s="959"/>
      <c r="H30" s="960"/>
      <c r="I30" s="83" t="str">
        <f t="shared" si="2"/>
        <v/>
      </c>
      <c r="J30" s="361" t="str">
        <f t="shared" si="3"/>
        <v/>
      </c>
      <c r="K30" s="200">
        <v>27</v>
      </c>
      <c r="L30" s="133">
        <f t="shared" si="4"/>
        <v>0</v>
      </c>
      <c r="M30" s="135" t="s">
        <v>5</v>
      </c>
      <c r="O30" s="244"/>
      <c r="P30" s="244"/>
      <c r="Q30" s="244"/>
      <c r="R30" s="244"/>
      <c r="S30" s="244"/>
      <c r="T30" s="244"/>
      <c r="U30" s="244"/>
      <c r="V30" s="244"/>
      <c r="W30" s="244"/>
      <c r="X30" s="244"/>
      <c r="Y30" s="244"/>
      <c r="Z30" s="244"/>
      <c r="AA30" s="244"/>
      <c r="AB30" s="244"/>
    </row>
    <row r="31" spans="1:28" ht="13.35" customHeight="1">
      <c r="A31" s="50" t="s">
        <v>5</v>
      </c>
      <c r="B31" s="141"/>
      <c r="C31" s="958"/>
      <c r="D31" s="93"/>
      <c r="E31" s="891"/>
      <c r="F31" s="89"/>
      <c r="G31" s="959"/>
      <c r="H31" s="960"/>
      <c r="I31" s="83" t="str">
        <f t="shared" si="2"/>
        <v/>
      </c>
      <c r="J31" s="361" t="str">
        <f t="shared" si="3"/>
        <v/>
      </c>
      <c r="K31" s="200">
        <v>28</v>
      </c>
      <c r="L31" s="133">
        <f t="shared" si="4"/>
        <v>0</v>
      </c>
      <c r="M31" s="135" t="s">
        <v>5</v>
      </c>
      <c r="O31" s="244"/>
      <c r="P31" s="244"/>
      <c r="Q31" s="244"/>
      <c r="R31" s="244"/>
      <c r="S31" s="244"/>
      <c r="T31" s="244"/>
      <c r="U31" s="244"/>
      <c r="V31" s="244"/>
      <c r="W31" s="244"/>
      <c r="X31" s="244"/>
      <c r="Y31" s="244"/>
      <c r="Z31" s="244"/>
      <c r="AA31" s="244"/>
      <c r="AB31" s="244"/>
    </row>
    <row r="32" spans="1:28" ht="13.35" customHeight="1">
      <c r="A32" s="50" t="s">
        <v>5</v>
      </c>
      <c r="B32" s="141"/>
      <c r="C32" s="80"/>
      <c r="D32" s="93"/>
      <c r="E32" s="226"/>
      <c r="F32" s="89"/>
      <c r="G32" s="81"/>
      <c r="H32" s="82"/>
      <c r="I32" s="83" t="str">
        <f t="shared" si="2"/>
        <v/>
      </c>
      <c r="J32" s="361" t="str">
        <f t="shared" si="3"/>
        <v/>
      </c>
      <c r="K32" s="200">
        <v>29</v>
      </c>
      <c r="L32" s="133">
        <f t="shared" si="4"/>
        <v>0</v>
      </c>
      <c r="M32" s="135" t="s">
        <v>5</v>
      </c>
      <c r="O32" s="244"/>
      <c r="P32" s="244"/>
      <c r="Q32" s="244"/>
      <c r="R32" s="244"/>
      <c r="S32" s="244"/>
      <c r="T32" s="244"/>
      <c r="U32" s="244"/>
      <c r="V32" s="244"/>
      <c r="W32" s="244"/>
      <c r="X32" s="244"/>
      <c r="Y32" s="244"/>
      <c r="Z32" s="244"/>
      <c r="AA32" s="244"/>
      <c r="AB32" s="244"/>
    </row>
    <row r="33" spans="1:28" ht="13.35" customHeight="1">
      <c r="A33" s="50" t="s">
        <v>5</v>
      </c>
      <c r="B33" s="141"/>
      <c r="C33" s="80"/>
      <c r="D33" s="93"/>
      <c r="E33" s="226"/>
      <c r="F33" s="89"/>
      <c r="G33" s="81"/>
      <c r="H33" s="82"/>
      <c r="I33" s="83" t="str">
        <f t="shared" si="2"/>
        <v/>
      </c>
      <c r="J33" s="361" t="str">
        <f t="shared" si="3"/>
        <v/>
      </c>
      <c r="K33" s="200">
        <v>30</v>
      </c>
      <c r="L33" s="133">
        <f t="shared" si="4"/>
        <v>0</v>
      </c>
      <c r="M33" s="135" t="s">
        <v>5</v>
      </c>
      <c r="O33" s="244"/>
      <c r="P33" s="244"/>
      <c r="Q33" s="244"/>
      <c r="R33" s="244"/>
      <c r="S33" s="244"/>
      <c r="T33" s="244"/>
      <c r="U33" s="244"/>
      <c r="V33" s="244"/>
      <c r="W33" s="244"/>
      <c r="X33" s="244"/>
      <c r="Y33" s="244"/>
      <c r="Z33" s="244"/>
      <c r="AA33" s="244"/>
      <c r="AB33" s="244"/>
    </row>
    <row r="34" spans="1:28" ht="13.35" customHeight="1">
      <c r="A34" s="50" t="s">
        <v>5</v>
      </c>
      <c r="B34" s="141"/>
      <c r="C34" s="80"/>
      <c r="D34" s="93"/>
      <c r="E34" s="226"/>
      <c r="F34" s="89"/>
      <c r="G34" s="81"/>
      <c r="H34" s="82"/>
      <c r="I34" s="83" t="str">
        <f t="shared" si="2"/>
        <v/>
      </c>
      <c r="J34" s="361" t="str">
        <f t="shared" si="3"/>
        <v/>
      </c>
      <c r="K34" s="200">
        <v>31</v>
      </c>
      <c r="L34" s="133">
        <f t="shared" si="4"/>
        <v>0</v>
      </c>
      <c r="M34" s="135" t="s">
        <v>5</v>
      </c>
      <c r="O34" s="244"/>
      <c r="P34" s="244"/>
      <c r="Q34" s="244"/>
      <c r="R34" s="244"/>
      <c r="S34" s="244"/>
      <c r="T34" s="244"/>
      <c r="U34" s="244"/>
      <c r="V34" s="244"/>
      <c r="W34" s="244"/>
      <c r="X34" s="244"/>
      <c r="Y34" s="244"/>
      <c r="Z34" s="244"/>
      <c r="AA34" s="244"/>
      <c r="AB34" s="244"/>
    </row>
    <row r="35" spans="1:28" ht="13.35" customHeight="1">
      <c r="A35" s="50" t="s">
        <v>5</v>
      </c>
      <c r="B35" s="141"/>
      <c r="C35" s="80"/>
      <c r="D35" s="93"/>
      <c r="E35" s="226"/>
      <c r="F35" s="89"/>
      <c r="G35" s="81"/>
      <c r="H35" s="82"/>
      <c r="I35" s="83" t="str">
        <f t="shared" si="2"/>
        <v/>
      </c>
      <c r="J35" s="361" t="str">
        <f t="shared" si="3"/>
        <v/>
      </c>
      <c r="K35" s="200">
        <v>32</v>
      </c>
      <c r="L35" s="133">
        <f t="shared" si="4"/>
        <v>0</v>
      </c>
      <c r="M35" s="135" t="s">
        <v>5</v>
      </c>
      <c r="O35" s="244"/>
      <c r="P35" s="244"/>
      <c r="Q35" s="244"/>
      <c r="R35" s="244"/>
      <c r="S35" s="244"/>
      <c r="T35" s="244"/>
      <c r="U35" s="244"/>
      <c r="V35" s="244"/>
      <c r="W35" s="244"/>
      <c r="X35" s="244"/>
      <c r="Y35" s="244"/>
      <c r="Z35" s="244"/>
      <c r="AA35" s="244"/>
      <c r="AB35" s="244"/>
    </row>
    <row r="36" spans="1:28" ht="13.35" customHeight="1">
      <c r="A36" s="50" t="s">
        <v>5</v>
      </c>
      <c r="B36" s="141"/>
      <c r="C36" s="80"/>
      <c r="D36" s="93"/>
      <c r="E36" s="226"/>
      <c r="F36" s="89"/>
      <c r="G36" s="81"/>
      <c r="H36" s="82"/>
      <c r="I36" s="83" t="str">
        <f t="shared" si="2"/>
        <v/>
      </c>
      <c r="J36" s="361" t="str">
        <f t="shared" si="3"/>
        <v/>
      </c>
      <c r="K36" s="200">
        <v>33</v>
      </c>
      <c r="L36" s="133">
        <f t="shared" si="4"/>
        <v>0</v>
      </c>
      <c r="M36" s="135" t="s">
        <v>5</v>
      </c>
      <c r="O36" s="244"/>
      <c r="P36" s="244"/>
      <c r="Q36" s="244"/>
      <c r="R36" s="244"/>
      <c r="S36" s="244"/>
      <c r="T36" s="244"/>
      <c r="U36" s="244"/>
      <c r="V36" s="244"/>
      <c r="W36" s="244"/>
      <c r="X36" s="244"/>
      <c r="Y36" s="244"/>
      <c r="Z36" s="244"/>
      <c r="AA36" s="244"/>
      <c r="AB36" s="244"/>
    </row>
    <row r="37" spans="1:28" ht="13.35" customHeight="1">
      <c r="A37" s="50" t="s">
        <v>5</v>
      </c>
      <c r="B37" s="141"/>
      <c r="C37" s="80"/>
      <c r="D37" s="93"/>
      <c r="E37" s="226"/>
      <c r="F37" s="89"/>
      <c r="G37" s="81"/>
      <c r="H37" s="82"/>
      <c r="I37" s="83" t="str">
        <f t="shared" si="2"/>
        <v/>
      </c>
      <c r="J37" s="361" t="str">
        <f t="shared" si="3"/>
        <v/>
      </c>
      <c r="K37" s="200">
        <v>34</v>
      </c>
      <c r="L37" s="133">
        <f t="shared" si="4"/>
        <v>0</v>
      </c>
      <c r="M37" s="135" t="s">
        <v>5</v>
      </c>
      <c r="O37" s="244"/>
      <c r="P37" s="244"/>
      <c r="Q37" s="244"/>
      <c r="R37" s="244"/>
      <c r="S37" s="244"/>
      <c r="T37" s="244"/>
      <c r="U37" s="244"/>
      <c r="V37" s="244"/>
      <c r="W37" s="244"/>
      <c r="X37" s="244"/>
      <c r="Y37" s="244"/>
      <c r="Z37" s="244"/>
      <c r="AA37" s="244"/>
      <c r="AB37" s="244"/>
    </row>
    <row r="38" spans="1:28" ht="13.35" customHeight="1">
      <c r="A38" s="50" t="s">
        <v>5</v>
      </c>
      <c r="B38" s="141"/>
      <c r="C38" s="80"/>
      <c r="D38" s="93"/>
      <c r="E38" s="226"/>
      <c r="F38" s="89"/>
      <c r="G38" s="81"/>
      <c r="H38" s="82"/>
      <c r="I38" s="83" t="str">
        <f t="shared" si="2"/>
        <v/>
      </c>
      <c r="J38" s="361" t="str">
        <f t="shared" si="3"/>
        <v/>
      </c>
      <c r="K38" s="200">
        <v>35</v>
      </c>
      <c r="L38" s="133">
        <f t="shared" si="4"/>
        <v>0</v>
      </c>
      <c r="M38" s="135" t="s">
        <v>5</v>
      </c>
      <c r="O38" s="244"/>
      <c r="P38" s="244"/>
      <c r="Q38" s="244"/>
      <c r="R38" s="244"/>
      <c r="S38" s="244"/>
      <c r="T38" s="244"/>
      <c r="U38" s="244"/>
      <c r="V38" s="244"/>
      <c r="W38" s="244"/>
      <c r="X38" s="244"/>
      <c r="Y38" s="244"/>
      <c r="Z38" s="244"/>
      <c r="AA38" s="244"/>
      <c r="AB38" s="244"/>
    </row>
    <row r="39" spans="1:28" ht="13.35" customHeight="1">
      <c r="A39" s="50" t="s">
        <v>5</v>
      </c>
      <c r="B39" s="141"/>
      <c r="C39" s="80"/>
      <c r="D39" s="93"/>
      <c r="E39" s="226"/>
      <c r="F39" s="89"/>
      <c r="G39" s="81"/>
      <c r="H39" s="82"/>
      <c r="I39" s="83" t="str">
        <f t="shared" si="2"/>
        <v/>
      </c>
      <c r="J39" s="361" t="str">
        <f t="shared" si="3"/>
        <v/>
      </c>
      <c r="K39" s="200">
        <v>36</v>
      </c>
      <c r="L39" s="133">
        <f t="shared" si="4"/>
        <v>0</v>
      </c>
      <c r="M39" s="135" t="s">
        <v>5</v>
      </c>
      <c r="O39" s="244"/>
      <c r="P39" s="244"/>
      <c r="Q39" s="244"/>
      <c r="R39" s="244"/>
      <c r="S39" s="244"/>
      <c r="T39" s="244"/>
      <c r="U39" s="244"/>
      <c r="V39" s="244"/>
      <c r="W39" s="244"/>
      <c r="X39" s="244"/>
      <c r="Y39" s="244"/>
      <c r="Z39" s="244"/>
      <c r="AA39" s="244"/>
      <c r="AB39" s="244"/>
    </row>
    <row r="40" spans="1:28" ht="13.35" customHeight="1">
      <c r="A40" s="50" t="s">
        <v>5</v>
      </c>
      <c r="B40" s="141"/>
      <c r="C40" s="80"/>
      <c r="D40" s="93"/>
      <c r="E40" s="226"/>
      <c r="F40" s="89"/>
      <c r="G40" s="81"/>
      <c r="H40" s="82"/>
      <c r="I40" s="83" t="str">
        <f t="shared" si="2"/>
        <v/>
      </c>
      <c r="J40" s="361" t="str">
        <f t="shared" si="3"/>
        <v/>
      </c>
      <c r="K40" s="200">
        <v>37</v>
      </c>
      <c r="L40" s="133">
        <f t="shared" si="4"/>
        <v>0</v>
      </c>
      <c r="M40" s="135" t="s">
        <v>5</v>
      </c>
      <c r="O40" s="244"/>
      <c r="P40" s="244"/>
      <c r="Q40" s="244"/>
      <c r="R40" s="244"/>
      <c r="S40" s="244"/>
      <c r="T40" s="244"/>
      <c r="U40" s="244"/>
      <c r="V40" s="244"/>
      <c r="W40" s="244"/>
      <c r="X40" s="244"/>
      <c r="Y40" s="244"/>
      <c r="Z40" s="244"/>
      <c r="AA40" s="244"/>
      <c r="AB40" s="244"/>
    </row>
    <row r="41" spans="1:28" ht="13.35" customHeight="1">
      <c r="A41" s="50" t="s">
        <v>5</v>
      </c>
      <c r="B41" s="141"/>
      <c r="C41" s="80"/>
      <c r="D41" s="93"/>
      <c r="E41" s="226"/>
      <c r="F41" s="89"/>
      <c r="G41" s="81"/>
      <c r="H41" s="82"/>
      <c r="I41" s="83" t="str">
        <f t="shared" si="2"/>
        <v/>
      </c>
      <c r="J41" s="361" t="str">
        <f t="shared" si="3"/>
        <v/>
      </c>
      <c r="K41" s="200">
        <v>38</v>
      </c>
      <c r="L41" s="133">
        <f t="shared" si="4"/>
        <v>0</v>
      </c>
      <c r="M41" s="135" t="s">
        <v>5</v>
      </c>
      <c r="O41" s="244"/>
      <c r="P41" s="244"/>
      <c r="Q41" s="244"/>
      <c r="R41" s="244"/>
      <c r="S41" s="244"/>
      <c r="T41" s="244"/>
      <c r="U41" s="244"/>
      <c r="V41" s="244"/>
      <c r="W41" s="244"/>
      <c r="X41" s="244"/>
      <c r="Y41" s="244"/>
      <c r="Z41" s="244"/>
      <c r="AA41" s="244"/>
      <c r="AB41" s="244"/>
    </row>
    <row r="42" spans="1:28" ht="13.35" customHeight="1">
      <c r="A42" s="50" t="s">
        <v>5</v>
      </c>
      <c r="B42" s="141"/>
      <c r="C42" s="80"/>
      <c r="D42" s="93"/>
      <c r="E42" s="226"/>
      <c r="F42" s="89"/>
      <c r="G42" s="81"/>
      <c r="H42" s="82"/>
      <c r="I42" s="83" t="str">
        <f t="shared" si="2"/>
        <v/>
      </c>
      <c r="J42" s="361" t="str">
        <f t="shared" si="3"/>
        <v/>
      </c>
      <c r="K42" s="200">
        <v>39</v>
      </c>
      <c r="L42" s="133">
        <f t="shared" si="4"/>
        <v>0</v>
      </c>
      <c r="M42" s="135" t="s">
        <v>5</v>
      </c>
      <c r="O42" s="244"/>
      <c r="P42" s="244"/>
      <c r="Q42" s="244"/>
      <c r="R42" s="244"/>
      <c r="S42" s="244"/>
      <c r="T42" s="244"/>
      <c r="U42" s="244"/>
      <c r="V42" s="244"/>
      <c r="W42" s="244"/>
      <c r="X42" s="244"/>
      <c r="Y42" s="244"/>
      <c r="Z42" s="244"/>
      <c r="AA42" s="244"/>
      <c r="AB42" s="244"/>
    </row>
    <row r="43" spans="1:28" ht="13.35" customHeight="1">
      <c r="A43" s="50" t="s">
        <v>5</v>
      </c>
      <c r="B43" s="141"/>
      <c r="C43" s="80"/>
      <c r="D43" s="93"/>
      <c r="E43" s="226"/>
      <c r="F43" s="89"/>
      <c r="G43" s="81"/>
      <c r="H43" s="82"/>
      <c r="I43" s="83" t="str">
        <f t="shared" si="2"/>
        <v/>
      </c>
      <c r="J43" s="361" t="str">
        <f t="shared" si="3"/>
        <v/>
      </c>
      <c r="K43" s="200">
        <v>40</v>
      </c>
      <c r="L43" s="133">
        <f t="shared" si="4"/>
        <v>0</v>
      </c>
      <c r="M43" s="135" t="s">
        <v>5</v>
      </c>
      <c r="O43" s="244"/>
      <c r="P43" s="244"/>
      <c r="Q43" s="244"/>
      <c r="R43" s="244"/>
      <c r="S43" s="244"/>
      <c r="T43" s="244"/>
      <c r="U43" s="244"/>
      <c r="V43" s="244"/>
      <c r="W43" s="244"/>
      <c r="X43" s="244"/>
      <c r="Y43" s="244"/>
      <c r="Z43" s="244"/>
      <c r="AA43" s="244"/>
      <c r="AB43" s="244"/>
    </row>
    <row r="44" spans="1:28" ht="13.35" customHeight="1">
      <c r="A44" s="50" t="s">
        <v>5</v>
      </c>
      <c r="B44" s="141"/>
      <c r="C44" s="80"/>
      <c r="D44" s="93"/>
      <c r="E44" s="226"/>
      <c r="F44" s="89"/>
      <c r="G44" s="81"/>
      <c r="H44" s="82"/>
      <c r="I44" s="83" t="str">
        <f t="shared" si="2"/>
        <v/>
      </c>
      <c r="J44" s="361" t="str">
        <f t="shared" si="3"/>
        <v/>
      </c>
      <c r="K44" s="200">
        <v>41</v>
      </c>
      <c r="L44" s="133">
        <f t="shared" si="4"/>
        <v>0</v>
      </c>
      <c r="M44" s="135" t="s">
        <v>5</v>
      </c>
      <c r="O44" s="244"/>
      <c r="P44" s="244"/>
      <c r="Q44" s="244"/>
      <c r="R44" s="244"/>
      <c r="S44" s="244"/>
      <c r="T44" s="244"/>
      <c r="U44" s="244"/>
      <c r="V44" s="244"/>
      <c r="W44" s="244"/>
      <c r="X44" s="244"/>
      <c r="Y44" s="244"/>
      <c r="Z44" s="244"/>
      <c r="AA44" s="244"/>
      <c r="AB44" s="244"/>
    </row>
    <row r="45" spans="1:28" ht="13.35" customHeight="1">
      <c r="A45" s="50" t="s">
        <v>5</v>
      </c>
      <c r="B45" s="141"/>
      <c r="C45" s="80"/>
      <c r="D45" s="93"/>
      <c r="E45" s="226"/>
      <c r="F45" s="89"/>
      <c r="G45" s="81"/>
      <c r="H45" s="82"/>
      <c r="I45" s="83" t="str">
        <f t="shared" ref="I45:I46" si="7">IF(G45&lt;&gt;"",+G45-G45/(1+H45/100),"")</f>
        <v/>
      </c>
      <c r="J45" s="361" t="str">
        <f t="shared" ref="J45:J46" si="8">IF(G45&lt;&gt;0,+G45-I45,"")</f>
        <v/>
      </c>
      <c r="K45" s="200">
        <v>44</v>
      </c>
      <c r="L45" s="133">
        <f t="shared" ref="L45:L46" si="9">IF(B45&lt;$O$2,0,IF(B45&lt;$P$2,1,IF(B45&lt;$Q$2,2,IF(B45&lt;$R$2,3,IF(B45&lt;$S$2,4,IF(B45&lt;$T$2,5,IF(B45&lt;$U$2,6,IF(B45&lt;$V$2,7,IF(B45&lt;$W$2,8,IF(B45&lt;$X$2,9,IF(B45&lt;$Y$2,10,IF(B45&lt;$Z$2,11,IF(B45&lt;=$Z$3,12,0)))))))))))))</f>
        <v>0</v>
      </c>
      <c r="M45" s="135" t="s">
        <v>5</v>
      </c>
      <c r="O45" s="244"/>
      <c r="P45" s="244"/>
      <c r="Q45" s="244"/>
      <c r="R45" s="244"/>
      <c r="S45" s="244"/>
      <c r="T45" s="244"/>
      <c r="U45" s="244"/>
      <c r="V45" s="244"/>
      <c r="W45" s="244"/>
      <c r="X45" s="244"/>
      <c r="Y45" s="244"/>
      <c r="Z45" s="244"/>
      <c r="AA45" s="244"/>
      <c r="AB45" s="244"/>
    </row>
    <row r="46" spans="1:28" ht="13.35" customHeight="1" thickBot="1">
      <c r="A46" s="50" t="s">
        <v>5</v>
      </c>
      <c r="B46" s="141"/>
      <c r="C46" s="80"/>
      <c r="D46" s="93"/>
      <c r="E46" s="226"/>
      <c r="F46" s="89"/>
      <c r="G46" s="81"/>
      <c r="H46" s="82"/>
      <c r="I46" s="83" t="str">
        <f t="shared" si="7"/>
        <v/>
      </c>
      <c r="J46" s="361" t="str">
        <f t="shared" si="8"/>
        <v/>
      </c>
      <c r="K46" s="200">
        <v>45</v>
      </c>
      <c r="L46" s="133">
        <f t="shared" si="9"/>
        <v>0</v>
      </c>
      <c r="M46" s="135" t="s">
        <v>5</v>
      </c>
      <c r="O46" s="244"/>
      <c r="P46" s="244"/>
      <c r="Q46" s="244"/>
      <c r="R46" s="244"/>
      <c r="S46" s="244"/>
      <c r="T46" s="244"/>
      <c r="U46" s="244"/>
      <c r="V46" s="244"/>
      <c r="W46" s="244"/>
      <c r="X46" s="244"/>
      <c r="Y46" s="244"/>
      <c r="Z46" s="244"/>
      <c r="AA46" s="244"/>
      <c r="AB46" s="244"/>
    </row>
    <row r="47" spans="1:28" ht="12" customHeight="1" thickTop="1" thickBot="1">
      <c r="A47" s="391" t="s">
        <v>283</v>
      </c>
      <c r="B47" s="1244" t="str">
        <f>IF($A$48=0,"^ Zeile einfügen","bis hierher ziehen!")</f>
        <v>^ Zeile einfügen</v>
      </c>
      <c r="C47" s="1244"/>
      <c r="D47" s="392" t="s">
        <v>5</v>
      </c>
      <c r="E47" s="393" t="s">
        <v>5</v>
      </c>
      <c r="F47" s="394" t="s">
        <v>5</v>
      </c>
      <c r="G47" s="394"/>
      <c r="H47" s="395"/>
      <c r="I47" s="396"/>
      <c r="J47" s="425"/>
      <c r="K47" s="201">
        <v>0</v>
      </c>
      <c r="L47" s="185" t="s">
        <v>5</v>
      </c>
      <c r="M47" s="398" t="s">
        <v>283</v>
      </c>
    </row>
    <row r="48" spans="1:28" ht="12" customHeight="1" thickTop="1" thickBot="1">
      <c r="A48" s="390">
        <f>COUNTBLANK(A3:A47)+A49</f>
        <v>0</v>
      </c>
      <c r="B48" s="193" t="str">
        <f>+EÜR!C29</f>
        <v>ü</v>
      </c>
      <c r="C48" s="194" t="s">
        <v>5</v>
      </c>
      <c r="D48" s="194" t="s">
        <v>5</v>
      </c>
      <c r="E48" s="195" t="s">
        <v>5</v>
      </c>
      <c r="F48" s="196" t="s">
        <v>5</v>
      </c>
      <c r="G48" s="197">
        <f>SUBTOTAL(9,G3:G47)</f>
        <v>0</v>
      </c>
      <c r="H48" s="1242">
        <f>SUBTOTAL(9,I3:I47)</f>
        <v>0</v>
      </c>
      <c r="I48" s="1243">
        <f>SUBTOTAL(9,I3:I47)</f>
        <v>0</v>
      </c>
      <c r="J48" s="1293">
        <f>G48-H48</f>
        <v>0</v>
      </c>
      <c r="K48" s="1294"/>
      <c r="L48" s="1295"/>
      <c r="M48" s="135" t="s">
        <v>5</v>
      </c>
    </row>
    <row r="49" spans="1:14" ht="12" customHeight="1" thickTop="1" thickBot="1">
      <c r="A49" s="390">
        <f>IF(ISERROR(J47),1,0)</f>
        <v>0</v>
      </c>
      <c r="B49" s="192">
        <f>J48-G49-E49-C49</f>
        <v>0</v>
      </c>
      <c r="C49" s="1239">
        <f>SUMIF(F4:F47,"Kreditkarte",G4:G47)</f>
        <v>0</v>
      </c>
      <c r="D49" s="1239"/>
      <c r="E49" s="1240">
        <f>SUMIF(F4:F47,"Konto",G4:G47)</f>
        <v>0</v>
      </c>
      <c r="F49" s="1240"/>
      <c r="G49" s="1241">
        <f>SUMIF(F4:F47,"Geldbeutel",G4:G47)</f>
        <v>0</v>
      </c>
      <c r="H49" s="1241"/>
      <c r="I49" s="1241"/>
      <c r="J49" s="1296"/>
      <c r="K49" s="1297"/>
      <c r="L49" s="1298"/>
      <c r="M49" s="135" t="s">
        <v>5</v>
      </c>
    </row>
    <row r="50" spans="1:14" s="15" customFormat="1" ht="5.25" customHeight="1" thickTop="1">
      <c r="A50" s="36"/>
      <c r="B50" s="2"/>
      <c r="C50" s="3"/>
      <c r="D50" s="3"/>
      <c r="E50" s="1"/>
      <c r="G50" s="16"/>
      <c r="H50" s="16"/>
      <c r="I50" s="17"/>
      <c r="J50" s="18"/>
      <c r="K50" s="18"/>
      <c r="L50" s="31"/>
      <c r="N50" s="148"/>
    </row>
    <row r="51" spans="1:14">
      <c r="A51" s="36"/>
    </row>
  </sheetData>
  <sheetProtection formatCells="0" insertRows="0" deleteRows="0" selectLockedCells="1" sort="0" autoFilter="0"/>
  <mergeCells count="15">
    <mergeCell ref="AA4:AB4"/>
    <mergeCell ref="C2:I2"/>
    <mergeCell ref="J2:L2"/>
    <mergeCell ref="J48:L49"/>
    <mergeCell ref="C49:D49"/>
    <mergeCell ref="E49:F49"/>
    <mergeCell ref="G49:I49"/>
    <mergeCell ref="H48:I48"/>
    <mergeCell ref="AA9:AB9"/>
    <mergeCell ref="O10:Z10"/>
    <mergeCell ref="O11:Z11"/>
    <mergeCell ref="AA13:AB13"/>
    <mergeCell ref="O14:Z14"/>
    <mergeCell ref="AA14:AB14"/>
    <mergeCell ref="B47:C47"/>
  </mergeCells>
  <phoneticPr fontId="188" type="noConversion"/>
  <conditionalFormatting sqref="A4:A46">
    <cfRule type="expression" dxfId="1126" priority="32">
      <formula>ISERROR(J4)</formula>
    </cfRule>
    <cfRule type="cellIs" dxfId="1125" priority="33" operator="equal">
      <formula>""</formula>
    </cfRule>
  </conditionalFormatting>
  <conditionalFormatting sqref="A47:C47">
    <cfRule type="expression" dxfId="1124" priority="17">
      <formula>$A$48&lt;&gt;0</formula>
    </cfRule>
  </conditionalFormatting>
  <conditionalFormatting sqref="B2">
    <cfRule type="expression" dxfId="1123" priority="59" stopIfTrue="1">
      <formula>$B$48="x"</formula>
    </cfRule>
  </conditionalFormatting>
  <conditionalFormatting sqref="B4:B46">
    <cfRule type="cellIs" dxfId="1122" priority="46" operator="equal">
      <formula>""</formula>
    </cfRule>
  </conditionalFormatting>
  <conditionalFormatting sqref="B48">
    <cfRule type="cellIs" dxfId="1119" priority="82" operator="equal">
      <formula>"y"</formula>
    </cfRule>
  </conditionalFormatting>
  <conditionalFormatting sqref="B3:J3">
    <cfRule type="expression" dxfId="1118" priority="10656">
      <formula>$B$48="x"</formula>
    </cfRule>
  </conditionalFormatting>
  <conditionalFormatting sqref="B4:J46">
    <cfRule type="expression" dxfId="1117" priority="2">
      <formula>$B$1="x"</formula>
    </cfRule>
  </conditionalFormatting>
  <conditionalFormatting sqref="B3:L3">
    <cfRule type="expression" dxfId="1116" priority="76">
      <formula>$B$48="x"</formula>
    </cfRule>
  </conditionalFormatting>
  <conditionalFormatting sqref="C4:D46">
    <cfRule type="expression" dxfId="1115" priority="3">
      <formula>AND($B4&lt;&gt;"",$C4="")</formula>
    </cfRule>
  </conditionalFormatting>
  <conditionalFormatting sqref="C49:I49">
    <cfRule type="cellIs" dxfId="1114" priority="81" stopIfTrue="1" operator="lessThan">
      <formula>0</formula>
    </cfRule>
    <cfRule type="cellIs" dxfId="1113" priority="79" stopIfTrue="1" operator="greaterThanOrEqual">
      <formula>0</formula>
    </cfRule>
  </conditionalFormatting>
  <conditionalFormatting sqref="D47:J47">
    <cfRule type="expression" dxfId="1112" priority="19">
      <formula>$A$48&lt;&gt;0</formula>
    </cfRule>
  </conditionalFormatting>
  <conditionalFormatting sqref="H4:H46">
    <cfRule type="expression" dxfId="1111" priority="7">
      <formula>AND(G4&lt;&gt;"",H4="",$I$1&lt;&gt;"x")</formula>
    </cfRule>
  </conditionalFormatting>
  <conditionalFormatting sqref="H4:I46">
    <cfRule type="expression" dxfId="1110" priority="5">
      <formula>AND($I4&lt;&gt;0,$I$1&lt;&gt;"ü")</formula>
    </cfRule>
    <cfRule type="expression" dxfId="1109" priority="6">
      <formula>$I$1&lt;&gt;"ü"</formula>
    </cfRule>
  </conditionalFormatting>
  <conditionalFormatting sqref="J48:L48 C49:L49 C48:H48">
    <cfRule type="expression" dxfId="1107" priority="78">
      <formula>$B$48="x"</formula>
    </cfRule>
  </conditionalFormatting>
  <conditionalFormatting sqref="J48:L49">
    <cfRule type="expression" dxfId="1106" priority="77">
      <formula>AND($B$48="x",$J$48&lt;&gt;0)</formula>
    </cfRule>
  </conditionalFormatting>
  <conditionalFormatting sqref="K4:L46">
    <cfRule type="expression" dxfId="1105" priority="17202">
      <formula>$B$48="x"</formula>
    </cfRule>
  </conditionalFormatting>
  <conditionalFormatting sqref="M3">
    <cfRule type="cellIs" dxfId="1104" priority="41" operator="equal">
      <formula>""</formula>
    </cfRule>
  </conditionalFormatting>
  <conditionalFormatting sqref="M4:M46">
    <cfRule type="expression" dxfId="1103" priority="39">
      <formula>ISERROR(J4)</formula>
    </cfRule>
    <cfRule type="cellIs" dxfId="1102" priority="40" operator="equal">
      <formula>""</formula>
    </cfRule>
  </conditionalFormatting>
  <conditionalFormatting sqref="M47">
    <cfRule type="expression" dxfId="1101" priority="18">
      <formula>$A$48&lt;&gt;0</formula>
    </cfRule>
  </conditionalFormatting>
  <conditionalFormatting sqref="M47:M49">
    <cfRule type="cellIs" dxfId="1100" priority="21" operator="equal">
      <formula>""</formula>
    </cfRule>
  </conditionalFormatting>
  <conditionalFormatting sqref="N10:AB10">
    <cfRule type="expression" dxfId="1099" priority="16">
      <formula>$N$2=0</formula>
    </cfRule>
  </conditionalFormatting>
  <conditionalFormatting sqref="O11:Z11">
    <cfRule type="cellIs" dxfId="1098" priority="63" operator="equal">
      <formula>"Fehler!"</formula>
    </cfRule>
  </conditionalFormatting>
  <conditionalFormatting sqref="O4:AA4">
    <cfRule type="expression" dxfId="1094" priority="58">
      <formula>$N$2=0</formula>
    </cfRule>
  </conditionalFormatting>
  <conditionalFormatting sqref="O2:AB3">
    <cfRule type="expression" dxfId="1092" priority="11">
      <formula>$N$2=0</formula>
    </cfRule>
  </conditionalFormatting>
  <conditionalFormatting sqref="O5:AB8 O9:AA9">
    <cfRule type="expression" dxfId="1091" priority="62">
      <formula>$N$2=0</formula>
    </cfRule>
  </conditionalFormatting>
  <conditionalFormatting sqref="O11:AB14">
    <cfRule type="expression" dxfId="1090" priority="1">
      <formula>$N$2=0</formula>
    </cfRule>
  </conditionalFormatting>
  <conditionalFormatting sqref="O47:AB49">
    <cfRule type="expression" dxfId="1089" priority="20">
      <formula>$N$2=0</formula>
    </cfRule>
  </conditionalFormatting>
  <dataValidations count="2">
    <dataValidation type="list" allowBlank="1" showInputMessage="1" showErrorMessage="1" sqref="F4:F46" xr:uid="{8625BD8B-7EED-4945-BEF5-29930ECD1DC5}">
      <formula1>"Konto,Geldbeutel,Kreditkarte,x"</formula1>
    </dataValidation>
    <dataValidation type="list" allowBlank="1" showInputMessage="1" showErrorMessage="1" sqref="H4:H46" xr:uid="{2176F290-5DC5-4029-B3E2-4C6D24172351}">
      <formula1>"19,7,0,~"</formula1>
    </dataValidation>
  </dataValidations>
  <hyperlinks>
    <hyperlink ref="J2" location="'2022 EÜR'!A1" display="Menü" xr:uid="{13B23148-E87D-49AD-AB3E-31A12E30BA31}"/>
    <hyperlink ref="J2:L2" location="EÜR!A1" display="EÜR" xr:uid="{4BC08A38-EABE-4E2B-A67E-356986214218}"/>
  </hyperlinks>
  <printOptions horizontalCentered="1"/>
  <pageMargins left="0" right="0" top="0" bottom="0.31496062992125984" header="0" footer="0"/>
  <pageSetup paperSize="9" orientation="portrait" r:id="rId1"/>
  <headerFooter>
    <oddFooter>&amp;L&amp;"Arial,Standard"&amp;8Datei: &amp;Z&amp;F/&amp;A&amp;C&amp;"Arial,Standard"&amp;8Seite &amp;P von &amp;N&amp;R&amp;"Arial,Standard"&amp;8Druck: &amp;D&amp;T Uhr</oddFooter>
  </headerFooter>
  <extLst>
    <ext xmlns:x14="http://schemas.microsoft.com/office/spreadsheetml/2009/9/main" uri="{78C0D931-6437-407d-A8EE-F0AAD7539E65}">
      <x14:conditionalFormattings>
        <x14:conditionalFormatting xmlns:xm="http://schemas.microsoft.com/office/excel/2006/main">
          <x14:cfRule type="cellIs" priority="48" operator="lessThan" id="{EB8B3319-8F8A-4490-9149-55264E5BDF62}">
            <xm:f>EÜR!$I$77</xm:f>
            <x14:dxf>
              <font>
                <b/>
                <i val="0"/>
                <color rgb="FFFFFF00"/>
              </font>
              <fill>
                <patternFill>
                  <bgColor rgb="FFC00000"/>
                </patternFill>
              </fill>
            </x14:dxf>
          </x14:cfRule>
          <x14:cfRule type="cellIs" priority="47" operator="greaterThan" id="{230A31C0-AA3E-4574-9FD7-1F6F37AFEE15}">
            <xm:f>EÜR!$I$78</xm:f>
            <x14:dxf>
              <font>
                <b/>
                <i val="0"/>
                <color rgb="FFFFFF00"/>
              </font>
              <fill>
                <patternFill>
                  <bgColor rgb="FFC00000"/>
                </patternFill>
              </fill>
            </x14:dxf>
          </x14:cfRule>
          <xm:sqref>B4:B46</xm:sqref>
        </x14:conditionalFormatting>
        <x14:conditionalFormatting xmlns:xm="http://schemas.microsoft.com/office/excel/2006/main">
          <x14:cfRule type="expression" priority="60" id="{E66849B6-B585-4B8A-BE8D-96F17D9EA5E2}">
            <xm:f>AND(EÜR!$J$66&lt;&gt;"ü",$H$48&lt;&gt;0)</xm:f>
            <x14:dxf>
              <font>
                <b/>
                <i val="0"/>
                <color rgb="FFFFFF00"/>
              </font>
              <fill>
                <patternFill>
                  <bgColor rgb="FFFF0000"/>
                </patternFill>
              </fill>
            </x14:dxf>
          </x14:cfRule>
          <xm:sqref>H48:I48</xm:sqref>
        </x14:conditionalFormatting>
        <x14:conditionalFormatting xmlns:xm="http://schemas.microsoft.com/office/excel/2006/main">
          <x14:cfRule type="expression" priority="64" id="{DBF0E487-AB09-40E0-9D44-1894BE6D9D52}">
            <xm:f>AND(O13&lt;&gt;0,U!L36="!",U!L37="!")</xm:f>
            <x14:dxf>
              <font>
                <b/>
                <i val="0"/>
                <color rgb="FFFF0000"/>
              </font>
              <fill>
                <patternFill>
                  <bgColor rgb="FFFFCCCC"/>
                </patternFill>
              </fill>
            </x14:dxf>
          </x14:cfRule>
          <x14:cfRule type="expression" priority="65" id="{C5E313B1-5EDB-4105-A3F1-9AFA9B8C2520}">
            <xm:f>U!L37&lt;&gt;"!"</xm:f>
            <x14:dxf>
              <font>
                <b/>
                <i val="0"/>
                <color rgb="FF006666"/>
              </font>
              <fill>
                <patternFill>
                  <bgColor theme="6" tint="0.39994506668294322"/>
                </patternFill>
              </fill>
            </x14:dxf>
          </x14:cfRule>
          <x14:cfRule type="expression" priority="66" id="{89B6DA28-F4E7-4332-89E1-100161139DD7}">
            <xm:f>U!L36&lt;&gt;"!"</xm:f>
            <x14:dxf>
              <font>
                <b/>
                <i val="0"/>
                <color theme="9" tint="-0.499984740745262"/>
              </font>
              <fill>
                <patternFill>
                  <bgColor rgb="FFFFFF99"/>
                </patternFill>
              </fill>
            </x14:dxf>
          </x14:cfRule>
          <xm:sqref>O13:Z13</xm:sqref>
        </x14:conditionalFormatting>
        <x14:conditionalFormatting xmlns:xm="http://schemas.microsoft.com/office/excel/2006/main">
          <x14:cfRule type="expression" priority="12" id="{CB239813-AFE6-4FBE-BBBA-96E178ADF8CE}">
            <xm:f>EÜR!$J$66="-"</xm:f>
            <x14:dxf>
              <font>
                <b/>
                <i val="0"/>
                <color theme="0"/>
              </font>
              <fill>
                <patternFill>
                  <bgColor theme="0"/>
                </patternFill>
              </fill>
              <border>
                <left/>
                <right/>
                <top/>
                <bottom/>
              </border>
            </x14:dxf>
          </x14:cfRule>
          <xm:sqref>O12:AA14</xm:sqref>
        </x14:conditionalFormatting>
      </x14:conditionalFormattings>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92041D-2F3F-4454-B576-926266795E84}">
  <sheetPr codeName="Tabelle17">
    <tabColor theme="9" tint="0.39997558519241921"/>
    <pageSetUpPr autoPageBreaks="0"/>
  </sheetPr>
  <dimension ref="A1:AB51"/>
  <sheetViews>
    <sheetView showGridLines="0" showRowColHeaders="0" zoomScaleNormal="100" workbookViewId="0">
      <pane ySplit="3" topLeftCell="A4" activePane="bottomLeft" state="frozen"/>
      <selection activeCell="F4" sqref="F4:F46"/>
      <selection pane="bottomLeft" activeCell="A4" sqref="A4"/>
    </sheetView>
  </sheetViews>
  <sheetFormatPr baseColWidth="10" defaultColWidth="9.77734375" defaultRowHeight="12.75"/>
  <cols>
    <col min="1" max="1" width="0.77734375" style="12" customWidth="1"/>
    <col min="2" max="2" width="7.6640625" style="30" customWidth="1"/>
    <col min="3" max="3" width="21.6640625" style="24" customWidth="1"/>
    <col min="4" max="4" width="7.6640625" style="24" customWidth="1"/>
    <col min="5" max="5" width="6.6640625" style="25" customWidth="1"/>
    <col min="6" max="6" width="9.6640625" style="26" customWidth="1"/>
    <col min="7" max="7" width="9.6640625" style="27" customWidth="1"/>
    <col min="8" max="8" width="2.6640625" style="28" customWidth="1"/>
    <col min="9" max="9" width="6.6640625" style="29" customWidth="1"/>
    <col min="10" max="10" width="9.6640625" style="27" customWidth="1"/>
    <col min="11" max="11" width="2.5546875" style="27" hidden="1" customWidth="1"/>
    <col min="12" max="12" width="1.5546875" style="32" hidden="1" customWidth="1"/>
    <col min="13" max="13" width="0.77734375" style="13" customWidth="1"/>
    <col min="14" max="14" width="1.77734375" style="147" customWidth="1"/>
    <col min="15" max="26" width="8.77734375" style="13" customWidth="1"/>
    <col min="27" max="27" width="10.33203125" style="13" customWidth="1"/>
    <col min="28" max="28" width="8.33203125" style="13" customWidth="1"/>
    <col min="29" max="16384" width="9.77734375" style="13"/>
  </cols>
  <sheetData>
    <row r="1" spans="1:28" s="37" customFormat="1" ht="3" customHeight="1" thickBot="1">
      <c r="A1" s="36"/>
      <c r="B1" s="53" t="str">
        <f>+B48</f>
        <v>ü</v>
      </c>
      <c r="C1" s="54">
        <f>+C49</f>
        <v>0</v>
      </c>
      <c r="D1" s="54"/>
      <c r="E1" s="53">
        <f>+E49</f>
        <v>0</v>
      </c>
      <c r="F1" s="53"/>
      <c r="G1" s="54">
        <f>+G49</f>
        <v>0</v>
      </c>
      <c r="H1" s="53"/>
      <c r="I1" s="338" t="str">
        <f>+EÜR!J66</f>
        <v>-</v>
      </c>
      <c r="J1" s="54">
        <f>+J48</f>
        <v>0</v>
      </c>
      <c r="K1" s="198"/>
      <c r="L1" s="56"/>
      <c r="N1" s="190"/>
    </row>
    <row r="2" spans="1:28" ht="23.1" customHeight="1" thickTop="1" thickBot="1">
      <c r="A2" s="36"/>
      <c r="B2" s="296" t="str">
        <f>+EÜR!D30</f>
        <v>A09</v>
      </c>
      <c r="C2" s="1290" t="str">
        <f>+EÜR!F30</f>
        <v>Übernachtungs- und Reisekosten</v>
      </c>
      <c r="D2" s="1291"/>
      <c r="E2" s="1291"/>
      <c r="F2" s="1291"/>
      <c r="G2" s="1291"/>
      <c r="H2" s="1291"/>
      <c r="I2" s="1292"/>
      <c r="J2" s="1227" t="s">
        <v>8</v>
      </c>
      <c r="K2" s="1228"/>
      <c r="L2" s="1229"/>
      <c r="M2" s="134"/>
      <c r="N2" s="190">
        <f>IF(OR(B48="x",N3=1),0,1)</f>
        <v>1</v>
      </c>
      <c r="O2" s="188">
        <f>+EOMONTH(EÜR!$I$3,-1)+1</f>
        <v>46023</v>
      </c>
      <c r="P2" s="188">
        <f t="shared" ref="P2:Z2" si="0">+O3+1</f>
        <v>46054</v>
      </c>
      <c r="Q2" s="188">
        <f t="shared" si="0"/>
        <v>46082</v>
      </c>
      <c r="R2" s="188">
        <f t="shared" si="0"/>
        <v>46113</v>
      </c>
      <c r="S2" s="188">
        <f t="shared" si="0"/>
        <v>46143</v>
      </c>
      <c r="T2" s="188">
        <f t="shared" si="0"/>
        <v>46174</v>
      </c>
      <c r="U2" s="188">
        <f t="shared" si="0"/>
        <v>46204</v>
      </c>
      <c r="V2" s="188">
        <f t="shared" si="0"/>
        <v>46235</v>
      </c>
      <c r="W2" s="188">
        <f t="shared" si="0"/>
        <v>46266</v>
      </c>
      <c r="X2" s="188">
        <f t="shared" si="0"/>
        <v>46296</v>
      </c>
      <c r="Y2" s="188">
        <f t="shared" si="0"/>
        <v>46327</v>
      </c>
      <c r="Z2" s="188">
        <f t="shared" si="0"/>
        <v>46357</v>
      </c>
      <c r="AA2" s="48"/>
    </row>
    <row r="3" spans="1:28" ht="14.25" customHeight="1" thickTop="1">
      <c r="A3" s="36" t="s">
        <v>5</v>
      </c>
      <c r="B3" s="58" t="s">
        <v>1</v>
      </c>
      <c r="C3" s="59" t="s">
        <v>6</v>
      </c>
      <c r="D3" s="60"/>
      <c r="E3" s="310" t="s">
        <v>7</v>
      </c>
      <c r="F3" s="61" t="s">
        <v>4</v>
      </c>
      <c r="G3" s="62" t="s">
        <v>31</v>
      </c>
      <c r="H3" s="63" t="s">
        <v>33</v>
      </c>
      <c r="I3" s="64" t="s">
        <v>32</v>
      </c>
      <c r="J3" s="275" t="s">
        <v>34</v>
      </c>
      <c r="K3" s="199">
        <v>0</v>
      </c>
      <c r="L3" s="65" t="s">
        <v>5</v>
      </c>
      <c r="M3" s="135" t="s">
        <v>5</v>
      </c>
      <c r="N3" s="222">
        <f>IF(SUBTOTAL(109,K3:K47)&lt;&gt;SUM(K3:K47),1,0)</f>
        <v>0</v>
      </c>
      <c r="O3" s="189">
        <f>EOMONTH(O2,0)</f>
        <v>46053</v>
      </c>
      <c r="P3" s="189">
        <f t="shared" ref="P3:Z3" si="1">EOMONTH(P2,0)</f>
        <v>46081</v>
      </c>
      <c r="Q3" s="189">
        <f t="shared" si="1"/>
        <v>46112</v>
      </c>
      <c r="R3" s="189">
        <f t="shared" si="1"/>
        <v>46142</v>
      </c>
      <c r="S3" s="189">
        <f t="shared" si="1"/>
        <v>46173</v>
      </c>
      <c r="T3" s="189">
        <f t="shared" si="1"/>
        <v>46203</v>
      </c>
      <c r="U3" s="189">
        <f t="shared" si="1"/>
        <v>46234</v>
      </c>
      <c r="V3" s="189">
        <f t="shared" si="1"/>
        <v>46265</v>
      </c>
      <c r="W3" s="189">
        <f t="shared" si="1"/>
        <v>46295</v>
      </c>
      <c r="X3" s="189">
        <f t="shared" si="1"/>
        <v>46326</v>
      </c>
      <c r="Y3" s="189">
        <f t="shared" si="1"/>
        <v>46356</v>
      </c>
      <c r="Z3" s="189">
        <f t="shared" si="1"/>
        <v>46387</v>
      </c>
      <c r="AB3" s="14"/>
    </row>
    <row r="4" spans="1:28" ht="13.35" customHeight="1">
      <c r="A4" s="50" t="s">
        <v>5</v>
      </c>
      <c r="B4" s="141"/>
      <c r="C4" s="80"/>
      <c r="D4" s="93"/>
      <c r="E4" s="226"/>
      <c r="F4" s="89"/>
      <c r="G4" s="81"/>
      <c r="H4" s="82"/>
      <c r="I4" s="83" t="str">
        <f t="shared" ref="I4:I44" si="2">IF(G4&lt;&gt;"",+G4-G4/(1+H4/100),"")</f>
        <v/>
      </c>
      <c r="J4" s="361" t="str">
        <f t="shared" ref="J4:J44" si="3">IF(G4&lt;&gt;0,+G4-I4,"")</f>
        <v/>
      </c>
      <c r="K4" s="200">
        <v>1</v>
      </c>
      <c r="L4" s="133">
        <f>IF(B4&lt;$O$2,0,IF(B4&lt;$P$2,1,IF(B4&lt;$Q$2,2,IF(B4&lt;$R$2,3,IF(B4&lt;$S$2,4,IF(B4&lt;$T$2,5,IF(B4&lt;$U$2,6,IF(B4&lt;$V$2,7,IF(B4&lt;$W$2,8,IF(B4&lt;$X$2,9,IF(B4&lt;$Y$2,10,IF(B4&lt;$Z$2,11,IF(B4&lt;=$Z$3,12,0)))))))))))))</f>
        <v>0</v>
      </c>
      <c r="M4" s="135" t="s">
        <v>5</v>
      </c>
      <c r="N4" s="190">
        <f>+N10+AA12+AA16</f>
        <v>0</v>
      </c>
      <c r="O4" s="251" t="s">
        <v>36</v>
      </c>
      <c r="P4" s="251" t="s">
        <v>37</v>
      </c>
      <c r="Q4" s="251" t="s">
        <v>38</v>
      </c>
      <c r="R4" s="251" t="s">
        <v>39</v>
      </c>
      <c r="S4" s="251" t="s">
        <v>40</v>
      </c>
      <c r="T4" s="251" t="s">
        <v>41</v>
      </c>
      <c r="U4" s="251" t="s">
        <v>42</v>
      </c>
      <c r="V4" s="251" t="s">
        <v>43</v>
      </c>
      <c r="W4" s="251" t="s">
        <v>44</v>
      </c>
      <c r="X4" s="251" t="s">
        <v>45</v>
      </c>
      <c r="Y4" s="251" t="s">
        <v>46</v>
      </c>
      <c r="Z4" s="251" t="s">
        <v>47</v>
      </c>
      <c r="AA4" s="1209" t="s">
        <v>255</v>
      </c>
      <c r="AB4" s="1210"/>
    </row>
    <row r="5" spans="1:28" ht="13.35" customHeight="1">
      <c r="A5" s="50" t="s">
        <v>5</v>
      </c>
      <c r="B5" s="141"/>
      <c r="C5" s="80"/>
      <c r="D5" s="93"/>
      <c r="E5" s="226"/>
      <c r="F5" s="89"/>
      <c r="G5" s="81"/>
      <c r="H5" s="82"/>
      <c r="I5" s="83" t="str">
        <f t="shared" si="2"/>
        <v/>
      </c>
      <c r="J5" s="361" t="str">
        <f t="shared" si="3"/>
        <v/>
      </c>
      <c r="K5" s="200">
        <v>2</v>
      </c>
      <c r="L5" s="133">
        <f t="shared" ref="L5:L44" si="4">IF(B5&lt;$O$2,0,IF(B5&lt;$P$2,1,IF(B5&lt;$Q$2,2,IF(B5&lt;$R$2,3,IF(B5&lt;$S$2,4,IF(B5&lt;$T$2,5,IF(B5&lt;$U$2,6,IF(B5&lt;$V$2,7,IF(B5&lt;$W$2,8,IF(B5&lt;$X$2,9,IF(B5&lt;$Y$2,10,IF(B5&lt;$Z$2,11,IF(B5&lt;=$Z$3,12,0)))))))))))))</f>
        <v>0</v>
      </c>
      <c r="M5" s="135" t="s">
        <v>5</v>
      </c>
      <c r="O5" s="252">
        <f>SUMIFS($G$3:$G$47,$L$3:$L$47,1,$F$3:$F$47,"Konto")</f>
        <v>0</v>
      </c>
      <c r="P5" s="252">
        <f>SUMIFS($G$3:$G$47,$L$3:$L$47,2,$F$3:$F$47,"Konto")</f>
        <v>0</v>
      </c>
      <c r="Q5" s="252">
        <f>SUMIFS($G$3:$G$47,$L$3:$L$47,3,$F$3:$F$47,"Konto")</f>
        <v>0</v>
      </c>
      <c r="R5" s="252">
        <f>SUMIFS($G$3:$G$47,$L$3:$L$47,4,$F$3:$F$47,"Konto")</f>
        <v>0</v>
      </c>
      <c r="S5" s="252">
        <f>SUMIFS($G$3:$G$47,$L$3:$L$47,5,$F$3:$F$47,"Konto")</f>
        <v>0</v>
      </c>
      <c r="T5" s="252">
        <f>SUMIFS($G$3:$G$47,$L$3:$L$47,6,$F$3:$F$47,"Konto")</f>
        <v>0</v>
      </c>
      <c r="U5" s="252">
        <f>SUMIFS($G$3:$G$47,$L$3:$L$47,7,$F$3:$F$47,"Konto")</f>
        <v>0</v>
      </c>
      <c r="V5" s="252">
        <f>SUMIFS($G$3:$G$47,$L$3:$L$47,8,$F$3:$F$47,"Konto")</f>
        <v>0</v>
      </c>
      <c r="W5" s="252">
        <f>SUMIFS($G$3:$G$47,$L$3:$L$47,9,$F$3:$F$47,"Konto")</f>
        <v>0</v>
      </c>
      <c r="X5" s="252">
        <f>SUMIFS($G$3:$G$47,$L$3:$L$47,10,$F$3:$F$47,"Konto")</f>
        <v>0</v>
      </c>
      <c r="Y5" s="252">
        <f>SUMIFS($G$3:$G$47,$L$3:$L$47,11,$F$3:$F$47,"Konto")</f>
        <v>0</v>
      </c>
      <c r="Z5" s="252">
        <f>SUMIFS($G$3:$G$47,$L$3:$L$47,12,$F$3:$F$47,"Konto")</f>
        <v>0</v>
      </c>
      <c r="AA5" s="253">
        <f>SUM(O5:Z5)</f>
        <v>0</v>
      </c>
      <c r="AB5" s="254" t="s">
        <v>140</v>
      </c>
    </row>
    <row r="6" spans="1:28" ht="13.35" customHeight="1">
      <c r="A6" s="50" t="s">
        <v>5</v>
      </c>
      <c r="B6" s="141"/>
      <c r="C6" s="80"/>
      <c r="D6" s="93"/>
      <c r="E6" s="226"/>
      <c r="F6" s="89"/>
      <c r="G6" s="81"/>
      <c r="H6" s="82"/>
      <c r="I6" s="83" t="str">
        <f t="shared" si="2"/>
        <v/>
      </c>
      <c r="J6" s="361" t="str">
        <f t="shared" si="3"/>
        <v/>
      </c>
      <c r="K6" s="200">
        <v>3</v>
      </c>
      <c r="L6" s="133">
        <f t="shared" si="4"/>
        <v>0</v>
      </c>
      <c r="M6" s="135" t="s">
        <v>5</v>
      </c>
      <c r="N6" s="190"/>
      <c r="O6" s="252">
        <f>SUMIFS($G$3:$G$47,$L$3:$L$47,1,$F$3:$F$47,"Kreditkarte")</f>
        <v>0</v>
      </c>
      <c r="P6" s="252">
        <f>SUMIFS($G$3:$G$47,$L$3:$L$47,2,$F$3:$F$47,"Kreditkarte")</f>
        <v>0</v>
      </c>
      <c r="Q6" s="252">
        <f>SUMIFS($G$3:$G$47,$L$3:$L$47,3,$F$3:$F$47,"Kreditkarte")</f>
        <v>0</v>
      </c>
      <c r="R6" s="252">
        <f>SUMIFS($G$3:$G$47,$L$3:$L$47,4,$F$3:$F$47,"Kreditkarte")</f>
        <v>0</v>
      </c>
      <c r="S6" s="252">
        <f>SUMIFS($G$3:$G$47,$L$3:$L$47,5,$F$3:$F$47,"Kreditkarte")</f>
        <v>0</v>
      </c>
      <c r="T6" s="252">
        <f>SUMIFS($G$3:$G$47,$L$3:$L$47,6,$F$3:$F$47,"Kreditkarte")</f>
        <v>0</v>
      </c>
      <c r="U6" s="252">
        <f>SUMIFS($G$3:$G$47,$L$3:$L$47,7,$F$3:$F$47,"Kreditkarte")</f>
        <v>0</v>
      </c>
      <c r="V6" s="252">
        <f>SUMIFS($G$3:$G$47,$L$3:$L$47,8,$F$3:$F$47,"Kreditkarte")</f>
        <v>0</v>
      </c>
      <c r="W6" s="252">
        <f>SUMIFS($G$3:$G$47,$L$3:$L$47,9,$F$3:$F$47,"Kreditkarte")</f>
        <v>0</v>
      </c>
      <c r="X6" s="252">
        <f>SUMIFS($G$3:$G$47,$L$3:$L$47,10,$F$3:$F$47,"Kreditkarte")</f>
        <v>0</v>
      </c>
      <c r="Y6" s="252">
        <f>SUMIFS($G$3:$G$47,$L$3:$L$47,11,$F$3:$F$47,"Kreditkarte")</f>
        <v>0</v>
      </c>
      <c r="Z6" s="252">
        <f>SUMIFS($G$3:$G$47,$L$3:$L$47,12,$F$3:$F$47,"Kreditkarte")</f>
        <v>0</v>
      </c>
      <c r="AA6" s="255">
        <f t="shared" ref="AA6:AA8" si="5">SUM(O6:Z6)</f>
        <v>0</v>
      </c>
      <c r="AB6" s="256" t="s">
        <v>142</v>
      </c>
    </row>
    <row r="7" spans="1:28" ht="13.35" customHeight="1">
      <c r="A7" s="50" t="s">
        <v>5</v>
      </c>
      <c r="B7" s="141"/>
      <c r="C7" s="80"/>
      <c r="D7" s="93"/>
      <c r="E7" s="226"/>
      <c r="F7" s="89"/>
      <c r="G7" s="81"/>
      <c r="H7" s="82"/>
      <c r="I7" s="83" t="str">
        <f t="shared" si="2"/>
        <v/>
      </c>
      <c r="J7" s="361" t="str">
        <f t="shared" si="3"/>
        <v/>
      </c>
      <c r="K7" s="200">
        <v>4</v>
      </c>
      <c r="L7" s="133">
        <f t="shared" si="4"/>
        <v>0</v>
      </c>
      <c r="M7" s="135" t="s">
        <v>5</v>
      </c>
      <c r="O7" s="252">
        <f>SUMIFS($G$3:$G$47,$L$3:$L$47,1,$F$3:$F$47,"Geldbeutel")</f>
        <v>0</v>
      </c>
      <c r="P7" s="252">
        <f>SUMIFS($G$3:$G$47,$L$3:$L$47,2,$F$3:$F$47,"Geldbeutel")</f>
        <v>0</v>
      </c>
      <c r="Q7" s="252">
        <f>SUMIFS($G$3:$G$47,$L$3:$L$47,3,$F$3:$F$47,"Geldbeutel")</f>
        <v>0</v>
      </c>
      <c r="R7" s="252">
        <f>SUMIFS($G$3:$G$47,$L$3:$L$47,4,$F$3:$F$47,"Geldbeutel")</f>
        <v>0</v>
      </c>
      <c r="S7" s="252">
        <f>SUMIFS($G$3:$G$47,$L$3:$L$47,5,$F$3:$F$47,"Geldbeutel")</f>
        <v>0</v>
      </c>
      <c r="T7" s="252">
        <f>SUMIFS($G$3:$G$47,$L$3:$L$47,6,$F$3:$F$47,"Geldbeutel")</f>
        <v>0</v>
      </c>
      <c r="U7" s="252">
        <f>SUMIFS($G$3:$G$47,$L$3:$L$47,7,$F$3:$F$47,"Geldbeutel")</f>
        <v>0</v>
      </c>
      <c r="V7" s="252">
        <f>SUMIFS($G$3:$G$47,$L$3:$L$47,8,$F$3:$F$47,"Geldbeutel")</f>
        <v>0</v>
      </c>
      <c r="W7" s="252">
        <f>SUMIFS($G$3:$G$47,$L$3:$L$47,9,$F$3:$F$47,"Geldbeutel")</f>
        <v>0</v>
      </c>
      <c r="X7" s="252">
        <f>SUMIFS($G$3:$G$47,$L$3:$L$47,10,$F$3:$F$47,"Geldbeutel")</f>
        <v>0</v>
      </c>
      <c r="Y7" s="252">
        <f>SUMIFS($G$3:$G$47,$L$3:$L$47,11,$F$3:$F$47,"Geldbeutel")</f>
        <v>0</v>
      </c>
      <c r="Z7" s="252">
        <f>SUMIFS($G$3:$G$47,$L$3:$L$47,12,$F$3:$F$47,"Geldbeutel")</f>
        <v>0</v>
      </c>
      <c r="AA7" s="253">
        <f t="shared" si="5"/>
        <v>0</v>
      </c>
      <c r="AB7" s="254" t="s">
        <v>139</v>
      </c>
    </row>
    <row r="8" spans="1:28" ht="13.35" customHeight="1">
      <c r="A8" s="50" t="s">
        <v>5</v>
      </c>
      <c r="B8" s="141"/>
      <c r="C8" s="80"/>
      <c r="D8" s="93"/>
      <c r="E8" s="226"/>
      <c r="F8" s="89"/>
      <c r="G8" s="81"/>
      <c r="H8" s="82"/>
      <c r="I8" s="83" t="str">
        <f t="shared" ref="I8:I11" si="6">IF(G8&lt;&gt;"",+G8-G8/(1+H8/100),"")</f>
        <v/>
      </c>
      <c r="J8" s="361" t="str">
        <f t="shared" si="3"/>
        <v/>
      </c>
      <c r="K8" s="200">
        <v>5</v>
      </c>
      <c r="L8" s="133">
        <f t="shared" si="4"/>
        <v>0</v>
      </c>
      <c r="M8" s="135" t="s">
        <v>5</v>
      </c>
      <c r="O8" s="252">
        <f>SUMIFS($G$3:$G$47,$L$3:$L$47,1,$F$3:$F$47,"X")</f>
        <v>0</v>
      </c>
      <c r="P8" s="252">
        <f>SUMIFS($G$3:$G$47,$L$3:$L$47,2,$F$3:$F$47,"X")</f>
        <v>0</v>
      </c>
      <c r="Q8" s="252">
        <f>SUMIFS($G$3:$G$47,$L$3:$L$47,3,$F$3:$F$47,"X")</f>
        <v>0</v>
      </c>
      <c r="R8" s="252">
        <f>SUMIFS($G$3:$G$47,$L$3:$L$47,4,$F$3:$F$47,"X")</f>
        <v>0</v>
      </c>
      <c r="S8" s="252">
        <f>SUMIFS($G$3:$G$47,$L$3:$L$47,5,$F$3:$F$47,"X")</f>
        <v>0</v>
      </c>
      <c r="T8" s="252">
        <f>SUMIFS($G$3:$G$47,$L$3:$L$47,6,$F$3:$F$47,"X")</f>
        <v>0</v>
      </c>
      <c r="U8" s="252">
        <f>SUMIFS($G$3:$G$47,$L$3:$L$47,7,$F$3:$F$47,"X")</f>
        <v>0</v>
      </c>
      <c r="V8" s="252">
        <f>SUMIFS($G$3:$G$47,$L$3:$L$47,8,$F$3:$F$47,"X")</f>
        <v>0</v>
      </c>
      <c r="W8" s="252">
        <f>SUMIFS($G$3:$G$47,$L$3:$L$47,9,$F$3:$F$47,"X")</f>
        <v>0</v>
      </c>
      <c r="X8" s="252">
        <f>SUMIFS($G$3:$G$47,$L$3:$L$47,10,$F$3:$F$47,"X")</f>
        <v>0</v>
      </c>
      <c r="Y8" s="252">
        <f>SUMIFS($G$3:$G$47,$L$3:$L$47,11,$F$3:$F$47,"X")</f>
        <v>0</v>
      </c>
      <c r="Z8" s="252">
        <f>SUMIFS($G$3:$G$47,$L$3:$L$47,12,$F$3:$F$47,"X")</f>
        <v>0</v>
      </c>
      <c r="AA8" s="255">
        <f t="shared" si="5"/>
        <v>0</v>
      </c>
      <c r="AB8" s="256" t="s">
        <v>192</v>
      </c>
    </row>
    <row r="9" spans="1:28" ht="13.35" customHeight="1">
      <c r="A9" s="50" t="s">
        <v>5</v>
      </c>
      <c r="B9" s="141"/>
      <c r="C9" s="80"/>
      <c r="D9" s="93"/>
      <c r="E9" s="226"/>
      <c r="F9" s="89"/>
      <c r="G9" s="81"/>
      <c r="H9" s="82"/>
      <c r="I9" s="83" t="str">
        <f t="shared" si="6"/>
        <v/>
      </c>
      <c r="J9" s="361" t="str">
        <f t="shared" si="3"/>
        <v/>
      </c>
      <c r="K9" s="200">
        <v>6</v>
      </c>
      <c r="L9" s="133">
        <f t="shared" si="4"/>
        <v>0</v>
      </c>
      <c r="M9" s="135" t="s">
        <v>5</v>
      </c>
      <c r="N9" s="191">
        <f>IF(OR(AND(AA14&lt;&gt;0,B48="x"),(O14+AA13)&lt;&gt;H48),1,0)</f>
        <v>0</v>
      </c>
      <c r="O9" s="257">
        <f>SUM(O5:O8)</f>
        <v>0</v>
      </c>
      <c r="P9" s="257">
        <f t="shared" ref="P9:Z9" si="7">SUM(P5:P8)</f>
        <v>0</v>
      </c>
      <c r="Q9" s="257">
        <f t="shared" si="7"/>
        <v>0</v>
      </c>
      <c r="R9" s="257">
        <f t="shared" si="7"/>
        <v>0</v>
      </c>
      <c r="S9" s="257">
        <f t="shared" si="7"/>
        <v>0</v>
      </c>
      <c r="T9" s="257">
        <f t="shared" si="7"/>
        <v>0</v>
      </c>
      <c r="U9" s="257">
        <f t="shared" si="7"/>
        <v>0</v>
      </c>
      <c r="V9" s="257">
        <f t="shared" si="7"/>
        <v>0</v>
      </c>
      <c r="W9" s="257">
        <f t="shared" si="7"/>
        <v>0</v>
      </c>
      <c r="X9" s="257">
        <f t="shared" si="7"/>
        <v>0</v>
      </c>
      <c r="Y9" s="257">
        <f t="shared" si="7"/>
        <v>0</v>
      </c>
      <c r="Z9" s="257">
        <f t="shared" si="7"/>
        <v>0</v>
      </c>
      <c r="AA9" s="1211" t="s">
        <v>197</v>
      </c>
      <c r="AB9" s="1212"/>
    </row>
    <row r="10" spans="1:28" ht="13.35" customHeight="1">
      <c r="A10" s="50" t="s">
        <v>5</v>
      </c>
      <c r="B10" s="141"/>
      <c r="C10" s="80"/>
      <c r="D10" s="93"/>
      <c r="E10" s="226"/>
      <c r="F10" s="89"/>
      <c r="G10" s="81"/>
      <c r="H10" s="82"/>
      <c r="I10" s="83" t="str">
        <f t="shared" si="6"/>
        <v/>
      </c>
      <c r="J10" s="361" t="str">
        <f t="shared" si="3"/>
        <v/>
      </c>
      <c r="K10" s="200">
        <v>7</v>
      </c>
      <c r="L10" s="133">
        <f t="shared" si="4"/>
        <v>0</v>
      </c>
      <c r="M10" s="135" t="s">
        <v>5</v>
      </c>
      <c r="N10" s="259">
        <f>IF(O10+AA10&lt;&gt;G48,1,0)</f>
        <v>0</v>
      </c>
      <c r="O10" s="1230">
        <f>SUM(O5:Z8)</f>
        <v>0</v>
      </c>
      <c r="P10" s="1231"/>
      <c r="Q10" s="1231"/>
      <c r="R10" s="1231"/>
      <c r="S10" s="1231"/>
      <c r="T10" s="1231"/>
      <c r="U10" s="1231"/>
      <c r="V10" s="1231"/>
      <c r="W10" s="1231"/>
      <c r="X10" s="1231"/>
      <c r="Y10" s="1231"/>
      <c r="Z10" s="1232"/>
      <c r="AA10" s="292">
        <f>+G48-AA7-AA6-AA5-AA8</f>
        <v>0</v>
      </c>
      <c r="AB10" s="293" t="s">
        <v>205</v>
      </c>
    </row>
    <row r="11" spans="1:28" ht="13.35" customHeight="1">
      <c r="A11" s="50" t="s">
        <v>5</v>
      </c>
      <c r="B11" s="141"/>
      <c r="C11" s="80"/>
      <c r="D11" s="93"/>
      <c r="E11" s="226"/>
      <c r="F11" s="89"/>
      <c r="G11" s="81"/>
      <c r="H11" s="82"/>
      <c r="I11" s="83" t="str">
        <f t="shared" si="6"/>
        <v/>
      </c>
      <c r="J11" s="361" t="str">
        <f t="shared" si="3"/>
        <v/>
      </c>
      <c r="K11" s="200">
        <v>8</v>
      </c>
      <c r="L11" s="133">
        <f t="shared" si="4"/>
        <v>0</v>
      </c>
      <c r="M11" s="135" t="s">
        <v>5</v>
      </c>
      <c r="O11" s="1219" t="str">
        <f>IF(N4&gt;0,"Fehler!","")</f>
        <v/>
      </c>
      <c r="P11" s="1219"/>
      <c r="Q11" s="1219"/>
      <c r="R11" s="1219"/>
      <c r="S11" s="1219"/>
      <c r="T11" s="1219"/>
      <c r="U11" s="1219"/>
      <c r="V11" s="1219"/>
      <c r="W11" s="1219"/>
      <c r="X11" s="1219"/>
      <c r="Y11" s="1219"/>
      <c r="Z11" s="1219"/>
    </row>
    <row r="12" spans="1:28" ht="13.35" customHeight="1">
      <c r="A12" s="50" t="s">
        <v>5</v>
      </c>
      <c r="B12" s="141"/>
      <c r="C12" s="80"/>
      <c r="D12" s="93"/>
      <c r="E12" s="226"/>
      <c r="F12" s="89"/>
      <c r="G12" s="81"/>
      <c r="H12" s="82"/>
      <c r="I12" s="83" t="str">
        <f t="shared" si="2"/>
        <v/>
      </c>
      <c r="J12" s="361" t="str">
        <f t="shared" si="3"/>
        <v/>
      </c>
      <c r="K12" s="200">
        <v>9</v>
      </c>
      <c r="L12" s="133">
        <f t="shared" si="4"/>
        <v>0</v>
      </c>
      <c r="M12" s="135" t="s">
        <v>5</v>
      </c>
      <c r="O12" s="203" t="s">
        <v>36</v>
      </c>
      <c r="P12" s="203" t="s">
        <v>37</v>
      </c>
      <c r="Q12" s="203" t="s">
        <v>38</v>
      </c>
      <c r="R12" s="203" t="s">
        <v>39</v>
      </c>
      <c r="S12" s="203" t="s">
        <v>40</v>
      </c>
      <c r="T12" s="203" t="s">
        <v>41</v>
      </c>
      <c r="U12" s="203" t="s">
        <v>42</v>
      </c>
      <c r="V12" s="203" t="s">
        <v>43</v>
      </c>
      <c r="W12" s="203" t="s">
        <v>44</v>
      </c>
      <c r="X12" s="203" t="s">
        <v>45</v>
      </c>
      <c r="Y12" s="203" t="s">
        <v>46</v>
      </c>
      <c r="Z12" s="203" t="s">
        <v>47</v>
      </c>
      <c r="AA12" s="221">
        <f>IF(O14+AA13&lt;&gt;H48,1,0)</f>
        <v>0</v>
      </c>
    </row>
    <row r="13" spans="1:28" ht="13.35" customHeight="1">
      <c r="A13" s="50" t="s">
        <v>5</v>
      </c>
      <c r="B13" s="141"/>
      <c r="C13" s="80"/>
      <c r="D13" s="93"/>
      <c r="E13" s="226"/>
      <c r="F13" s="89"/>
      <c r="G13" s="81"/>
      <c r="H13" s="82"/>
      <c r="I13" s="83" t="str">
        <f t="shared" si="2"/>
        <v/>
      </c>
      <c r="J13" s="361" t="str">
        <f t="shared" si="3"/>
        <v/>
      </c>
      <c r="K13" s="200">
        <v>10</v>
      </c>
      <c r="L13" s="133">
        <f t="shared" si="4"/>
        <v>0</v>
      </c>
      <c r="M13" s="135" t="s">
        <v>5</v>
      </c>
      <c r="O13" s="187">
        <f>SUMIF($L$3:$L$47,1,$I$3:$I$47)</f>
        <v>0</v>
      </c>
      <c r="P13" s="187">
        <f>SUMIF($L$3:$L$47,2,$I$3:$I$47)</f>
        <v>0</v>
      </c>
      <c r="Q13" s="187">
        <f>SUMIF($L$3:$L$47,3,$I$3:$I$47)</f>
        <v>0</v>
      </c>
      <c r="R13" s="187">
        <f>SUMIF($L$3:$L$47,4,$I$3:$I$47)</f>
        <v>0</v>
      </c>
      <c r="S13" s="187">
        <f>SUMIF($L$3:$L$47,5,$I$3:$I$47)</f>
        <v>0</v>
      </c>
      <c r="T13" s="187">
        <f>SUMIF($L$3:$L$47,6,$I$3:$I$47)</f>
        <v>0</v>
      </c>
      <c r="U13" s="187">
        <f>SUMIF($L$3:$L$47,7,$I$3:$I$47)</f>
        <v>0</v>
      </c>
      <c r="V13" s="187">
        <f>SUMIF($L$3:$L$47,8,$I$3:$I$47)</f>
        <v>0</v>
      </c>
      <c r="W13" s="187">
        <f>SUMIF($L$3:$L$47,9,$I$3:$I$47)</f>
        <v>0</v>
      </c>
      <c r="X13" s="187">
        <f>SUMIF($L$3:$L$47,10,$I$3:$I$47)</f>
        <v>0</v>
      </c>
      <c r="Y13" s="187">
        <f>SUMIF($L$3:$L$47,11,$I$3:$I$47)</f>
        <v>0</v>
      </c>
      <c r="Z13" s="187">
        <f>SUMIF($L$3:$L$47,12,$I$3:$I$47)</f>
        <v>0</v>
      </c>
      <c r="AA13" s="1220">
        <f>SUMIF($L$3:$L$47,0,$I$3:$I$47)</f>
        <v>0</v>
      </c>
      <c r="AB13" s="1221"/>
    </row>
    <row r="14" spans="1:28" ht="13.35" customHeight="1">
      <c r="A14" s="50" t="s">
        <v>5</v>
      </c>
      <c r="B14" s="141"/>
      <c r="C14" s="80"/>
      <c r="D14" s="93"/>
      <c r="E14" s="226"/>
      <c r="F14" s="89"/>
      <c r="G14" s="81"/>
      <c r="H14" s="82"/>
      <c r="I14" s="83" t="str">
        <f t="shared" si="2"/>
        <v/>
      </c>
      <c r="J14" s="361" t="str">
        <f t="shared" si="3"/>
        <v/>
      </c>
      <c r="K14" s="200">
        <v>11</v>
      </c>
      <c r="L14" s="133">
        <f t="shared" si="4"/>
        <v>0</v>
      </c>
      <c r="M14" s="135" t="s">
        <v>5</v>
      </c>
      <c r="O14" s="1299">
        <f>SUM(O13:Z13)</f>
        <v>0</v>
      </c>
      <c r="P14" s="1300"/>
      <c r="Q14" s="1300"/>
      <c r="R14" s="1300"/>
      <c r="S14" s="1300"/>
      <c r="T14" s="1300"/>
      <c r="U14" s="1300"/>
      <c r="V14" s="1300"/>
      <c r="W14" s="1300"/>
      <c r="X14" s="1300"/>
      <c r="Y14" s="1300"/>
      <c r="Z14" s="1301"/>
      <c r="AA14" s="1222">
        <f>SUM(O13:Z13)+AA13</f>
        <v>0</v>
      </c>
      <c r="AB14" s="1223"/>
    </row>
    <row r="15" spans="1:28" ht="13.35" customHeight="1">
      <c r="A15" s="50" t="s">
        <v>5</v>
      </c>
      <c r="B15" s="141"/>
      <c r="C15" s="260"/>
      <c r="D15" s="93"/>
      <c r="E15" s="226"/>
      <c r="F15" s="89"/>
      <c r="G15" s="81"/>
      <c r="H15" s="82"/>
      <c r="I15" s="83" t="str">
        <f t="shared" si="2"/>
        <v/>
      </c>
      <c r="J15" s="361" t="str">
        <f t="shared" si="3"/>
        <v/>
      </c>
      <c r="K15" s="200">
        <v>12</v>
      </c>
      <c r="L15" s="133">
        <f t="shared" si="4"/>
        <v>0</v>
      </c>
      <c r="M15" s="135" t="s">
        <v>5</v>
      </c>
      <c r="O15" s="244"/>
      <c r="P15" s="244"/>
      <c r="Q15" s="244"/>
      <c r="R15" s="244"/>
      <c r="S15" s="244"/>
      <c r="T15" s="244"/>
      <c r="U15" s="244"/>
      <c r="V15" s="244"/>
      <c r="W15" s="244"/>
      <c r="X15" s="244"/>
      <c r="Y15" s="244"/>
      <c r="Z15" s="244"/>
      <c r="AA15" s="244"/>
      <c r="AB15" s="244"/>
    </row>
    <row r="16" spans="1:28" ht="13.35" customHeight="1">
      <c r="A16" s="50" t="s">
        <v>5</v>
      </c>
      <c r="B16" s="141"/>
      <c r="C16" s="80"/>
      <c r="D16" s="93"/>
      <c r="E16" s="226"/>
      <c r="F16" s="89"/>
      <c r="G16" s="81"/>
      <c r="H16" s="82"/>
      <c r="I16" s="83" t="str">
        <f t="shared" si="2"/>
        <v/>
      </c>
      <c r="J16" s="361" t="str">
        <f t="shared" si="3"/>
        <v/>
      </c>
      <c r="K16" s="200">
        <v>13</v>
      </c>
      <c r="L16" s="133">
        <f t="shared" si="4"/>
        <v>0</v>
      </c>
      <c r="M16" s="135" t="s">
        <v>5</v>
      </c>
      <c r="O16" s="244"/>
      <c r="P16" s="244"/>
      <c r="Q16" s="244"/>
      <c r="R16" s="244"/>
      <c r="S16" s="244"/>
      <c r="T16" s="244"/>
      <c r="U16" s="244"/>
      <c r="V16" s="244"/>
      <c r="W16" s="244"/>
      <c r="X16" s="244"/>
      <c r="Y16" s="244"/>
      <c r="Z16" s="244"/>
      <c r="AA16" s="244"/>
      <c r="AB16" s="244"/>
    </row>
    <row r="17" spans="1:28" ht="13.35" customHeight="1">
      <c r="A17" s="50" t="s">
        <v>5</v>
      </c>
      <c r="B17" s="141"/>
      <c r="C17" s="80"/>
      <c r="D17" s="93"/>
      <c r="E17" s="226"/>
      <c r="F17" s="89"/>
      <c r="G17" s="81"/>
      <c r="H17" s="82"/>
      <c r="I17" s="83" t="str">
        <f t="shared" si="2"/>
        <v/>
      </c>
      <c r="J17" s="361" t="str">
        <f t="shared" si="3"/>
        <v/>
      </c>
      <c r="K17" s="200">
        <v>14</v>
      </c>
      <c r="L17" s="133">
        <f t="shared" si="4"/>
        <v>0</v>
      </c>
      <c r="M17" s="135" t="s">
        <v>5</v>
      </c>
      <c r="O17" s="244"/>
      <c r="P17" s="244"/>
      <c r="Q17" s="244"/>
      <c r="R17" s="244"/>
      <c r="S17" s="244"/>
      <c r="T17" s="244"/>
      <c r="U17" s="244"/>
      <c r="V17" s="244"/>
      <c r="W17" s="244"/>
      <c r="X17" s="244"/>
      <c r="Y17" s="244"/>
      <c r="Z17" s="244"/>
      <c r="AA17" s="244"/>
      <c r="AB17" s="244"/>
    </row>
    <row r="18" spans="1:28" ht="13.35" customHeight="1">
      <c r="A18" s="50" t="s">
        <v>5</v>
      </c>
      <c r="B18" s="141"/>
      <c r="C18" s="80"/>
      <c r="D18" s="93"/>
      <c r="E18" s="226"/>
      <c r="F18" s="89"/>
      <c r="G18" s="81"/>
      <c r="H18" s="82"/>
      <c r="I18" s="83" t="str">
        <f t="shared" si="2"/>
        <v/>
      </c>
      <c r="J18" s="361" t="str">
        <f t="shared" si="3"/>
        <v/>
      </c>
      <c r="K18" s="200">
        <v>15</v>
      </c>
      <c r="L18" s="133">
        <f t="shared" si="4"/>
        <v>0</v>
      </c>
      <c r="M18" s="135" t="s">
        <v>5</v>
      </c>
      <c r="O18" s="244"/>
      <c r="P18" s="244"/>
      <c r="Q18" s="244"/>
      <c r="R18" s="244"/>
      <c r="S18" s="244"/>
      <c r="T18" s="244"/>
      <c r="U18" s="244"/>
      <c r="V18" s="244"/>
      <c r="W18" s="244"/>
      <c r="X18" s="244"/>
      <c r="Y18" s="244"/>
      <c r="Z18" s="244"/>
      <c r="AA18" s="244"/>
      <c r="AB18" s="244"/>
    </row>
    <row r="19" spans="1:28" ht="13.35" customHeight="1">
      <c r="A19" s="50" t="s">
        <v>5</v>
      </c>
      <c r="B19" s="141"/>
      <c r="C19" s="80"/>
      <c r="D19" s="93"/>
      <c r="E19" s="226"/>
      <c r="F19" s="89"/>
      <c r="G19" s="81"/>
      <c r="H19" s="82"/>
      <c r="I19" s="83" t="str">
        <f t="shared" si="2"/>
        <v/>
      </c>
      <c r="J19" s="361" t="str">
        <f t="shared" si="3"/>
        <v/>
      </c>
      <c r="K19" s="200">
        <v>16</v>
      </c>
      <c r="L19" s="133">
        <f t="shared" si="4"/>
        <v>0</v>
      </c>
      <c r="M19" s="135" t="s">
        <v>5</v>
      </c>
      <c r="O19" s="244"/>
      <c r="P19" s="244"/>
      <c r="Q19" s="244"/>
      <c r="R19" s="244"/>
      <c r="S19" s="244"/>
      <c r="T19" s="244"/>
      <c r="U19" s="244"/>
      <c r="V19" s="244"/>
      <c r="W19" s="244"/>
      <c r="X19" s="244"/>
      <c r="Y19" s="244"/>
      <c r="Z19" s="244"/>
      <c r="AA19" s="244"/>
      <c r="AB19" s="244"/>
    </row>
    <row r="20" spans="1:28" ht="13.35" customHeight="1">
      <c r="A20" s="50" t="s">
        <v>5</v>
      </c>
      <c r="B20" s="141"/>
      <c r="C20" s="80"/>
      <c r="D20" s="93"/>
      <c r="E20" s="226"/>
      <c r="F20" s="89"/>
      <c r="G20" s="81"/>
      <c r="H20" s="82"/>
      <c r="I20" s="83" t="str">
        <f t="shared" si="2"/>
        <v/>
      </c>
      <c r="J20" s="361" t="str">
        <f t="shared" si="3"/>
        <v/>
      </c>
      <c r="K20" s="200">
        <v>17</v>
      </c>
      <c r="L20" s="133">
        <f t="shared" si="4"/>
        <v>0</v>
      </c>
      <c r="M20" s="135" t="s">
        <v>5</v>
      </c>
      <c r="O20" s="244"/>
      <c r="P20" s="244"/>
      <c r="Q20" s="244"/>
      <c r="R20" s="244"/>
      <c r="S20" s="244"/>
      <c r="T20" s="244"/>
      <c r="U20" s="244"/>
      <c r="V20" s="244"/>
      <c r="W20" s="244"/>
      <c r="X20" s="244"/>
      <c r="Y20" s="244"/>
      <c r="Z20" s="244"/>
      <c r="AA20" s="244"/>
      <c r="AB20" s="244"/>
    </row>
    <row r="21" spans="1:28" ht="13.35" customHeight="1">
      <c r="A21" s="50" t="s">
        <v>5</v>
      </c>
      <c r="B21" s="141"/>
      <c r="C21" s="80"/>
      <c r="D21" s="93"/>
      <c r="E21" s="226"/>
      <c r="F21" s="89"/>
      <c r="G21" s="81"/>
      <c r="H21" s="82"/>
      <c r="I21" s="83" t="str">
        <f t="shared" si="2"/>
        <v/>
      </c>
      <c r="J21" s="361" t="str">
        <f t="shared" si="3"/>
        <v/>
      </c>
      <c r="K21" s="200">
        <v>18</v>
      </c>
      <c r="L21" s="133">
        <f t="shared" si="4"/>
        <v>0</v>
      </c>
      <c r="M21" s="135" t="s">
        <v>5</v>
      </c>
      <c r="O21" s="244"/>
      <c r="P21" s="244"/>
      <c r="Q21" s="244"/>
      <c r="R21" s="244"/>
      <c r="S21" s="244"/>
      <c r="T21" s="244"/>
      <c r="U21" s="244"/>
      <c r="V21" s="244"/>
      <c r="W21" s="244"/>
      <c r="X21" s="244"/>
      <c r="Y21" s="244"/>
      <c r="Z21" s="244"/>
      <c r="AA21" s="244"/>
      <c r="AB21" s="244"/>
    </row>
    <row r="22" spans="1:28" ht="13.35" customHeight="1">
      <c r="A22" s="50" t="s">
        <v>5</v>
      </c>
      <c r="B22" s="141"/>
      <c r="C22" s="80"/>
      <c r="D22" s="93"/>
      <c r="E22" s="226"/>
      <c r="F22" s="89"/>
      <c r="G22" s="81"/>
      <c r="H22" s="82"/>
      <c r="I22" s="83" t="str">
        <f t="shared" si="2"/>
        <v/>
      </c>
      <c r="J22" s="361" t="str">
        <f t="shared" si="3"/>
        <v/>
      </c>
      <c r="K22" s="200">
        <v>19</v>
      </c>
      <c r="L22" s="133">
        <f t="shared" si="4"/>
        <v>0</v>
      </c>
      <c r="M22" s="135" t="s">
        <v>5</v>
      </c>
      <c r="O22" s="244"/>
      <c r="P22" s="244"/>
      <c r="Q22" s="244"/>
      <c r="R22" s="244"/>
      <c r="S22" s="244"/>
      <c r="T22" s="244"/>
      <c r="U22" s="244"/>
      <c r="V22" s="244"/>
      <c r="W22" s="244"/>
      <c r="X22" s="244"/>
      <c r="Y22" s="244"/>
      <c r="Z22" s="244"/>
      <c r="AA22" s="244"/>
      <c r="AB22" s="244"/>
    </row>
    <row r="23" spans="1:28" ht="13.35" customHeight="1">
      <c r="A23" s="50" t="s">
        <v>5</v>
      </c>
      <c r="B23" s="141"/>
      <c r="C23" s="80"/>
      <c r="D23" s="94"/>
      <c r="E23" s="226"/>
      <c r="F23" s="89"/>
      <c r="G23" s="81"/>
      <c r="H23" s="82"/>
      <c r="I23" s="83" t="str">
        <f t="shared" si="2"/>
        <v/>
      </c>
      <c r="J23" s="361" t="str">
        <f t="shared" si="3"/>
        <v/>
      </c>
      <c r="K23" s="200">
        <v>20</v>
      </c>
      <c r="L23" s="133">
        <f t="shared" si="4"/>
        <v>0</v>
      </c>
      <c r="M23" s="135" t="s">
        <v>5</v>
      </c>
      <c r="O23" s="244"/>
      <c r="P23" s="244"/>
      <c r="Q23" s="244"/>
      <c r="R23" s="244"/>
      <c r="S23" s="244"/>
      <c r="T23" s="244"/>
      <c r="U23" s="244"/>
      <c r="V23" s="244"/>
      <c r="W23" s="244"/>
      <c r="X23" s="244"/>
      <c r="Y23" s="244"/>
      <c r="Z23" s="244"/>
      <c r="AA23" s="244"/>
      <c r="AB23" s="244"/>
    </row>
    <row r="24" spans="1:28" ht="13.35" customHeight="1">
      <c r="A24" s="50" t="s">
        <v>5</v>
      </c>
      <c r="B24" s="141"/>
      <c r="C24" s="80"/>
      <c r="D24" s="93"/>
      <c r="E24" s="226"/>
      <c r="F24" s="89"/>
      <c r="G24" s="81"/>
      <c r="H24" s="82"/>
      <c r="I24" s="83" t="str">
        <f t="shared" si="2"/>
        <v/>
      </c>
      <c r="J24" s="361" t="str">
        <f t="shared" si="3"/>
        <v/>
      </c>
      <c r="K24" s="200">
        <v>21</v>
      </c>
      <c r="L24" s="133">
        <f t="shared" si="4"/>
        <v>0</v>
      </c>
      <c r="M24" s="135" t="s">
        <v>5</v>
      </c>
      <c r="O24" s="244"/>
      <c r="P24" s="244"/>
      <c r="Q24" s="244"/>
      <c r="R24" s="244"/>
      <c r="S24" s="244"/>
      <c r="T24" s="244"/>
      <c r="U24" s="244"/>
      <c r="V24" s="244"/>
      <c r="W24" s="244"/>
      <c r="X24" s="244"/>
      <c r="Y24" s="244"/>
      <c r="Z24" s="244"/>
      <c r="AA24" s="244"/>
      <c r="AB24" s="244"/>
    </row>
    <row r="25" spans="1:28" ht="13.35" customHeight="1">
      <c r="A25" s="50" t="s">
        <v>5</v>
      </c>
      <c r="B25" s="141"/>
      <c r="C25" s="80"/>
      <c r="D25" s="93"/>
      <c r="E25" s="226"/>
      <c r="F25" s="89"/>
      <c r="G25" s="81"/>
      <c r="H25" s="82"/>
      <c r="I25" s="83" t="str">
        <f t="shared" si="2"/>
        <v/>
      </c>
      <c r="J25" s="361" t="str">
        <f t="shared" si="3"/>
        <v/>
      </c>
      <c r="K25" s="200">
        <v>22</v>
      </c>
      <c r="L25" s="133">
        <f t="shared" si="4"/>
        <v>0</v>
      </c>
      <c r="M25" s="135" t="s">
        <v>5</v>
      </c>
      <c r="O25" s="244"/>
      <c r="P25" s="244"/>
      <c r="Q25" s="244"/>
      <c r="R25" s="244"/>
      <c r="S25" s="244"/>
      <c r="T25" s="244"/>
      <c r="U25" s="244"/>
      <c r="V25" s="244"/>
      <c r="W25" s="244"/>
      <c r="X25" s="244"/>
      <c r="Y25" s="244"/>
      <c r="Z25" s="244"/>
      <c r="AA25" s="244"/>
      <c r="AB25" s="244"/>
    </row>
    <row r="26" spans="1:28" ht="13.35" customHeight="1">
      <c r="A26" s="50" t="s">
        <v>5</v>
      </c>
      <c r="B26" s="141"/>
      <c r="C26" s="80"/>
      <c r="D26" s="93"/>
      <c r="E26" s="226"/>
      <c r="F26" s="89"/>
      <c r="G26" s="81"/>
      <c r="H26" s="82"/>
      <c r="I26" s="83" t="str">
        <f t="shared" si="2"/>
        <v/>
      </c>
      <c r="J26" s="361" t="str">
        <f t="shared" si="3"/>
        <v/>
      </c>
      <c r="K26" s="200">
        <v>23</v>
      </c>
      <c r="L26" s="133">
        <f t="shared" si="4"/>
        <v>0</v>
      </c>
      <c r="M26" s="135" t="s">
        <v>5</v>
      </c>
      <c r="O26" s="244"/>
      <c r="P26" s="244"/>
      <c r="Q26" s="244"/>
      <c r="R26" s="244"/>
      <c r="S26" s="244"/>
      <c r="T26" s="244"/>
      <c r="U26" s="244"/>
      <c r="V26" s="244"/>
      <c r="W26" s="244"/>
      <c r="X26" s="244"/>
      <c r="Y26" s="244"/>
      <c r="Z26" s="244"/>
      <c r="AA26" s="244"/>
      <c r="AB26" s="244"/>
    </row>
    <row r="27" spans="1:28" ht="13.35" customHeight="1">
      <c r="A27" s="50" t="s">
        <v>5</v>
      </c>
      <c r="B27" s="141"/>
      <c r="C27" s="80"/>
      <c r="D27" s="93"/>
      <c r="E27" s="226"/>
      <c r="F27" s="89"/>
      <c r="G27" s="81"/>
      <c r="H27" s="82"/>
      <c r="I27" s="83" t="str">
        <f t="shared" si="2"/>
        <v/>
      </c>
      <c r="J27" s="361" t="str">
        <f t="shared" si="3"/>
        <v/>
      </c>
      <c r="K27" s="200">
        <v>24</v>
      </c>
      <c r="L27" s="133">
        <f t="shared" si="4"/>
        <v>0</v>
      </c>
      <c r="M27" s="135" t="s">
        <v>5</v>
      </c>
      <c r="O27" s="244"/>
      <c r="P27" s="244"/>
      <c r="Q27" s="244"/>
      <c r="R27" s="244"/>
      <c r="S27" s="244"/>
      <c r="T27" s="244"/>
      <c r="U27" s="244"/>
      <c r="V27" s="244"/>
      <c r="W27" s="244"/>
      <c r="X27" s="244"/>
      <c r="Y27" s="244"/>
      <c r="Z27" s="244"/>
      <c r="AA27" s="244"/>
      <c r="AB27" s="244"/>
    </row>
    <row r="28" spans="1:28" ht="13.35" customHeight="1">
      <c r="A28" s="50" t="s">
        <v>5</v>
      </c>
      <c r="B28" s="141"/>
      <c r="C28" s="80"/>
      <c r="D28" s="93"/>
      <c r="E28" s="226"/>
      <c r="F28" s="89"/>
      <c r="G28" s="81"/>
      <c r="H28" s="82"/>
      <c r="I28" s="83" t="str">
        <f t="shared" si="2"/>
        <v/>
      </c>
      <c r="J28" s="361" t="str">
        <f t="shared" si="3"/>
        <v/>
      </c>
      <c r="K28" s="200">
        <v>25</v>
      </c>
      <c r="L28" s="133">
        <f t="shared" si="4"/>
        <v>0</v>
      </c>
      <c r="M28" s="135" t="s">
        <v>5</v>
      </c>
      <c r="O28" s="244"/>
      <c r="P28" s="244"/>
      <c r="Q28" s="244"/>
      <c r="R28" s="244"/>
      <c r="S28" s="244"/>
      <c r="T28" s="244"/>
      <c r="U28" s="244"/>
      <c r="V28" s="244"/>
      <c r="W28" s="244"/>
      <c r="X28" s="244"/>
      <c r="Y28" s="244"/>
      <c r="Z28" s="244"/>
      <c r="AA28" s="244"/>
      <c r="AB28" s="244"/>
    </row>
    <row r="29" spans="1:28" ht="13.35" customHeight="1">
      <c r="A29" s="50" t="s">
        <v>5</v>
      </c>
      <c r="B29" s="141"/>
      <c r="C29" s="80"/>
      <c r="D29" s="93"/>
      <c r="E29" s="226"/>
      <c r="F29" s="89"/>
      <c r="G29" s="81"/>
      <c r="H29" s="82"/>
      <c r="I29" s="83" t="str">
        <f t="shared" si="2"/>
        <v/>
      </c>
      <c r="J29" s="361" t="str">
        <f t="shared" si="3"/>
        <v/>
      </c>
      <c r="K29" s="200">
        <v>26</v>
      </c>
      <c r="L29" s="133">
        <f t="shared" si="4"/>
        <v>0</v>
      </c>
      <c r="M29" s="135" t="s">
        <v>5</v>
      </c>
      <c r="O29" s="244"/>
      <c r="P29" s="244"/>
      <c r="Q29" s="244"/>
      <c r="R29" s="244"/>
      <c r="S29" s="244"/>
      <c r="T29" s="244"/>
      <c r="U29" s="244"/>
      <c r="V29" s="244"/>
      <c r="W29" s="244"/>
      <c r="X29" s="244"/>
      <c r="Y29" s="244"/>
      <c r="Z29" s="244"/>
      <c r="AA29" s="244"/>
      <c r="AB29" s="244"/>
    </row>
    <row r="30" spans="1:28" ht="13.35" customHeight="1">
      <c r="A30" s="50" t="s">
        <v>5</v>
      </c>
      <c r="B30" s="141"/>
      <c r="C30" s="80"/>
      <c r="D30" s="93"/>
      <c r="E30" s="226"/>
      <c r="F30" s="89"/>
      <c r="G30" s="81"/>
      <c r="H30" s="82"/>
      <c r="I30" s="83" t="str">
        <f t="shared" si="2"/>
        <v/>
      </c>
      <c r="J30" s="361" t="str">
        <f t="shared" si="3"/>
        <v/>
      </c>
      <c r="K30" s="200">
        <v>27</v>
      </c>
      <c r="L30" s="133">
        <f t="shared" si="4"/>
        <v>0</v>
      </c>
      <c r="M30" s="135" t="s">
        <v>5</v>
      </c>
      <c r="O30" s="244"/>
      <c r="P30" s="244"/>
      <c r="Q30" s="244"/>
      <c r="R30" s="244"/>
      <c r="S30" s="244"/>
      <c r="T30" s="244"/>
      <c r="U30" s="244"/>
      <c r="V30" s="244"/>
      <c r="W30" s="244"/>
      <c r="X30" s="244"/>
      <c r="Y30" s="244"/>
      <c r="Z30" s="244"/>
      <c r="AA30" s="244"/>
      <c r="AB30" s="244"/>
    </row>
    <row r="31" spans="1:28" ht="13.35" customHeight="1">
      <c r="A31" s="50" t="s">
        <v>5</v>
      </c>
      <c r="B31" s="141"/>
      <c r="C31" s="80"/>
      <c r="D31" s="93"/>
      <c r="E31" s="226"/>
      <c r="F31" s="89"/>
      <c r="G31" s="81"/>
      <c r="H31" s="82"/>
      <c r="I31" s="83" t="str">
        <f t="shared" si="2"/>
        <v/>
      </c>
      <c r="J31" s="361" t="str">
        <f t="shared" si="3"/>
        <v/>
      </c>
      <c r="K31" s="200">
        <v>28</v>
      </c>
      <c r="L31" s="133">
        <f t="shared" si="4"/>
        <v>0</v>
      </c>
      <c r="M31" s="135" t="s">
        <v>5</v>
      </c>
      <c r="O31" s="244"/>
      <c r="P31" s="244"/>
      <c r="Q31" s="244"/>
      <c r="R31" s="244"/>
      <c r="S31" s="244"/>
      <c r="T31" s="244"/>
      <c r="U31" s="244"/>
      <c r="V31" s="244"/>
      <c r="W31" s="244"/>
      <c r="X31" s="244"/>
      <c r="Y31" s="244"/>
      <c r="Z31" s="244"/>
      <c r="AA31" s="244"/>
      <c r="AB31" s="244"/>
    </row>
    <row r="32" spans="1:28" ht="13.35" customHeight="1">
      <c r="A32" s="50" t="s">
        <v>5</v>
      </c>
      <c r="B32" s="141"/>
      <c r="C32" s="80"/>
      <c r="D32" s="93"/>
      <c r="E32" s="226"/>
      <c r="F32" s="89"/>
      <c r="G32" s="81"/>
      <c r="H32" s="82"/>
      <c r="I32" s="83" t="str">
        <f t="shared" si="2"/>
        <v/>
      </c>
      <c r="J32" s="361" t="str">
        <f t="shared" si="3"/>
        <v/>
      </c>
      <c r="K32" s="200">
        <v>29</v>
      </c>
      <c r="L32" s="133">
        <f t="shared" si="4"/>
        <v>0</v>
      </c>
      <c r="M32" s="135" t="s">
        <v>5</v>
      </c>
      <c r="O32" s="244"/>
      <c r="P32" s="244"/>
      <c r="Q32" s="244"/>
      <c r="R32" s="244"/>
      <c r="S32" s="244"/>
      <c r="T32" s="244"/>
      <c r="U32" s="244"/>
      <c r="V32" s="244"/>
      <c r="W32" s="244"/>
      <c r="X32" s="244"/>
      <c r="Y32" s="244"/>
      <c r="Z32" s="244"/>
      <c r="AA32" s="244"/>
      <c r="AB32" s="244"/>
    </row>
    <row r="33" spans="1:28" ht="13.35" customHeight="1">
      <c r="A33" s="50" t="s">
        <v>5</v>
      </c>
      <c r="B33" s="141"/>
      <c r="C33" s="80"/>
      <c r="D33" s="93"/>
      <c r="E33" s="226"/>
      <c r="F33" s="89"/>
      <c r="G33" s="81"/>
      <c r="H33" s="82"/>
      <c r="I33" s="83" t="str">
        <f t="shared" si="2"/>
        <v/>
      </c>
      <c r="J33" s="361" t="str">
        <f t="shared" si="3"/>
        <v/>
      </c>
      <c r="K33" s="200">
        <v>30</v>
      </c>
      <c r="L33" s="133">
        <f t="shared" si="4"/>
        <v>0</v>
      </c>
      <c r="M33" s="135" t="s">
        <v>5</v>
      </c>
      <c r="O33" s="244"/>
      <c r="P33" s="244"/>
      <c r="Q33" s="244"/>
      <c r="R33" s="244"/>
      <c r="S33" s="244"/>
      <c r="T33" s="244"/>
      <c r="U33" s="244"/>
      <c r="V33" s="244"/>
      <c r="W33" s="244"/>
      <c r="X33" s="244"/>
      <c r="Y33" s="244"/>
      <c r="Z33" s="244"/>
      <c r="AA33" s="244"/>
      <c r="AB33" s="244"/>
    </row>
    <row r="34" spans="1:28" ht="13.35" customHeight="1">
      <c r="A34" s="50" t="s">
        <v>5</v>
      </c>
      <c r="B34" s="141"/>
      <c r="C34" s="80"/>
      <c r="D34" s="93"/>
      <c r="E34" s="226"/>
      <c r="F34" s="89"/>
      <c r="G34" s="81"/>
      <c r="H34" s="82"/>
      <c r="I34" s="83" t="str">
        <f t="shared" si="2"/>
        <v/>
      </c>
      <c r="J34" s="361" t="str">
        <f t="shared" si="3"/>
        <v/>
      </c>
      <c r="K34" s="200">
        <v>31</v>
      </c>
      <c r="L34" s="133">
        <f t="shared" si="4"/>
        <v>0</v>
      </c>
      <c r="M34" s="135" t="s">
        <v>5</v>
      </c>
      <c r="O34" s="244"/>
      <c r="P34" s="244"/>
      <c r="Q34" s="244"/>
      <c r="R34" s="244"/>
      <c r="S34" s="244"/>
      <c r="T34" s="244"/>
      <c r="U34" s="244"/>
      <c r="V34" s="244"/>
      <c r="W34" s="244"/>
      <c r="X34" s="244"/>
      <c r="Y34" s="244"/>
      <c r="Z34" s="244"/>
      <c r="AA34" s="244"/>
      <c r="AB34" s="244"/>
    </row>
    <row r="35" spans="1:28" ht="13.35" customHeight="1">
      <c r="A35" s="50" t="s">
        <v>5</v>
      </c>
      <c r="B35" s="141"/>
      <c r="C35" s="80"/>
      <c r="D35" s="93"/>
      <c r="E35" s="226"/>
      <c r="F35" s="89"/>
      <c r="G35" s="81"/>
      <c r="H35" s="82"/>
      <c r="I35" s="83" t="str">
        <f t="shared" si="2"/>
        <v/>
      </c>
      <c r="J35" s="361" t="str">
        <f t="shared" si="3"/>
        <v/>
      </c>
      <c r="K35" s="200">
        <v>32</v>
      </c>
      <c r="L35" s="133">
        <f t="shared" si="4"/>
        <v>0</v>
      </c>
      <c r="M35" s="135" t="s">
        <v>5</v>
      </c>
      <c r="O35" s="244"/>
      <c r="P35" s="244"/>
      <c r="Q35" s="244"/>
      <c r="R35" s="244"/>
      <c r="S35" s="244"/>
      <c r="T35" s="244"/>
      <c r="U35" s="244"/>
      <c r="V35" s="244"/>
      <c r="W35" s="244"/>
      <c r="X35" s="244"/>
      <c r="Y35" s="244"/>
      <c r="Z35" s="244"/>
      <c r="AA35" s="244"/>
      <c r="AB35" s="244"/>
    </row>
    <row r="36" spans="1:28" ht="13.35" customHeight="1">
      <c r="A36" s="50" t="s">
        <v>5</v>
      </c>
      <c r="B36" s="141"/>
      <c r="C36" s="80"/>
      <c r="D36" s="93"/>
      <c r="E36" s="226"/>
      <c r="F36" s="89"/>
      <c r="G36" s="81"/>
      <c r="H36" s="82"/>
      <c r="I36" s="83" t="str">
        <f t="shared" si="2"/>
        <v/>
      </c>
      <c r="J36" s="361" t="str">
        <f t="shared" si="3"/>
        <v/>
      </c>
      <c r="K36" s="200">
        <v>33</v>
      </c>
      <c r="L36" s="133">
        <f t="shared" si="4"/>
        <v>0</v>
      </c>
      <c r="M36" s="135" t="s">
        <v>5</v>
      </c>
      <c r="O36" s="244"/>
      <c r="P36" s="244"/>
      <c r="Q36" s="244"/>
      <c r="R36" s="244"/>
      <c r="S36" s="244"/>
      <c r="T36" s="244"/>
      <c r="U36" s="244"/>
      <c r="V36" s="244"/>
      <c r="W36" s="244"/>
      <c r="X36" s="244"/>
      <c r="Y36" s="244"/>
      <c r="Z36" s="244"/>
      <c r="AA36" s="244"/>
      <c r="AB36" s="244"/>
    </row>
    <row r="37" spans="1:28" ht="13.35" customHeight="1">
      <c r="A37" s="50" t="s">
        <v>5</v>
      </c>
      <c r="B37" s="141"/>
      <c r="C37" s="80"/>
      <c r="D37" s="93"/>
      <c r="E37" s="226"/>
      <c r="F37" s="89"/>
      <c r="G37" s="81"/>
      <c r="H37" s="82"/>
      <c r="I37" s="83" t="str">
        <f t="shared" si="2"/>
        <v/>
      </c>
      <c r="J37" s="361" t="str">
        <f t="shared" si="3"/>
        <v/>
      </c>
      <c r="K37" s="200">
        <v>34</v>
      </c>
      <c r="L37" s="133">
        <f t="shared" si="4"/>
        <v>0</v>
      </c>
      <c r="M37" s="135" t="s">
        <v>5</v>
      </c>
      <c r="O37" s="244"/>
      <c r="P37" s="244"/>
      <c r="Q37" s="244"/>
      <c r="R37" s="244"/>
      <c r="S37" s="244"/>
      <c r="T37" s="244"/>
      <c r="U37" s="244"/>
      <c r="V37" s="244"/>
      <c r="W37" s="244"/>
      <c r="X37" s="244"/>
      <c r="Y37" s="244"/>
      <c r="Z37" s="244"/>
      <c r="AA37" s="244"/>
      <c r="AB37" s="244"/>
    </row>
    <row r="38" spans="1:28" ht="13.35" customHeight="1">
      <c r="A38" s="50" t="s">
        <v>5</v>
      </c>
      <c r="B38" s="141"/>
      <c r="C38" s="80"/>
      <c r="D38" s="93"/>
      <c r="E38" s="226"/>
      <c r="F38" s="89"/>
      <c r="G38" s="81"/>
      <c r="H38" s="82"/>
      <c r="I38" s="83" t="str">
        <f t="shared" si="2"/>
        <v/>
      </c>
      <c r="J38" s="361" t="str">
        <f t="shared" si="3"/>
        <v/>
      </c>
      <c r="K38" s="200">
        <v>35</v>
      </c>
      <c r="L38" s="133">
        <f t="shared" si="4"/>
        <v>0</v>
      </c>
      <c r="M38" s="135" t="s">
        <v>5</v>
      </c>
      <c r="O38" s="244"/>
      <c r="P38" s="244"/>
      <c r="Q38" s="244"/>
      <c r="R38" s="244"/>
      <c r="S38" s="244"/>
      <c r="T38" s="244"/>
      <c r="U38" s="244"/>
      <c r="V38" s="244"/>
      <c r="W38" s="244"/>
      <c r="X38" s="244"/>
      <c r="Y38" s="244"/>
      <c r="Z38" s="244"/>
      <c r="AA38" s="244"/>
      <c r="AB38" s="244"/>
    </row>
    <row r="39" spans="1:28" ht="13.35" customHeight="1">
      <c r="A39" s="50" t="s">
        <v>5</v>
      </c>
      <c r="B39" s="141"/>
      <c r="C39" s="80"/>
      <c r="D39" s="93"/>
      <c r="E39" s="226"/>
      <c r="F39" s="89"/>
      <c r="G39" s="81"/>
      <c r="H39" s="82"/>
      <c r="I39" s="83" t="str">
        <f t="shared" si="2"/>
        <v/>
      </c>
      <c r="J39" s="361" t="str">
        <f t="shared" si="3"/>
        <v/>
      </c>
      <c r="K39" s="200">
        <v>36</v>
      </c>
      <c r="L39" s="133">
        <f t="shared" si="4"/>
        <v>0</v>
      </c>
      <c r="M39" s="135" t="s">
        <v>5</v>
      </c>
      <c r="O39" s="244"/>
      <c r="P39" s="244"/>
      <c r="Q39" s="244"/>
      <c r="R39" s="244"/>
      <c r="S39" s="244"/>
      <c r="T39" s="244"/>
      <c r="U39" s="244"/>
      <c r="V39" s="244"/>
      <c r="W39" s="244"/>
      <c r="X39" s="244"/>
      <c r="Y39" s="244"/>
      <c r="Z39" s="244"/>
      <c r="AA39" s="244"/>
      <c r="AB39" s="244"/>
    </row>
    <row r="40" spans="1:28" ht="13.35" customHeight="1">
      <c r="A40" s="50" t="s">
        <v>5</v>
      </c>
      <c r="B40" s="141"/>
      <c r="C40" s="80"/>
      <c r="D40" s="93"/>
      <c r="E40" s="226"/>
      <c r="F40" s="89"/>
      <c r="G40" s="81"/>
      <c r="H40" s="82"/>
      <c r="I40" s="83" t="str">
        <f t="shared" si="2"/>
        <v/>
      </c>
      <c r="J40" s="361" t="str">
        <f t="shared" si="3"/>
        <v/>
      </c>
      <c r="K40" s="200">
        <v>37</v>
      </c>
      <c r="L40" s="133">
        <f t="shared" si="4"/>
        <v>0</v>
      </c>
      <c r="M40" s="135" t="s">
        <v>5</v>
      </c>
      <c r="O40" s="244"/>
      <c r="P40" s="244"/>
      <c r="Q40" s="244"/>
      <c r="R40" s="244"/>
      <c r="S40" s="244"/>
      <c r="T40" s="244"/>
      <c r="U40" s="244"/>
      <c r="V40" s="244"/>
      <c r="W40" s="244"/>
      <c r="X40" s="244"/>
      <c r="Y40" s="244"/>
      <c r="Z40" s="244"/>
      <c r="AA40" s="244"/>
      <c r="AB40" s="244"/>
    </row>
    <row r="41" spans="1:28" ht="13.35" customHeight="1">
      <c r="A41" s="50" t="s">
        <v>5</v>
      </c>
      <c r="B41" s="141"/>
      <c r="C41" s="80"/>
      <c r="D41" s="93"/>
      <c r="E41" s="226"/>
      <c r="F41" s="89"/>
      <c r="G41" s="81"/>
      <c r="H41" s="82"/>
      <c r="I41" s="83" t="str">
        <f t="shared" si="2"/>
        <v/>
      </c>
      <c r="J41" s="361" t="str">
        <f t="shared" si="3"/>
        <v/>
      </c>
      <c r="K41" s="200">
        <v>38</v>
      </c>
      <c r="L41" s="133">
        <f t="shared" si="4"/>
        <v>0</v>
      </c>
      <c r="M41" s="135" t="s">
        <v>5</v>
      </c>
      <c r="O41" s="244"/>
      <c r="P41" s="244"/>
      <c r="Q41" s="244"/>
      <c r="R41" s="244"/>
      <c r="S41" s="244"/>
      <c r="T41" s="244"/>
      <c r="U41" s="244"/>
      <c r="V41" s="244"/>
      <c r="W41" s="244"/>
      <c r="X41" s="244"/>
      <c r="Y41" s="244"/>
      <c r="Z41" s="244"/>
      <c r="AA41" s="244"/>
      <c r="AB41" s="244"/>
    </row>
    <row r="42" spans="1:28" ht="13.35" customHeight="1">
      <c r="A42" s="50" t="s">
        <v>5</v>
      </c>
      <c r="B42" s="141"/>
      <c r="C42" s="80"/>
      <c r="D42" s="93"/>
      <c r="E42" s="226"/>
      <c r="F42" s="89"/>
      <c r="G42" s="81"/>
      <c r="H42" s="82"/>
      <c r="I42" s="83" t="str">
        <f t="shared" si="2"/>
        <v/>
      </c>
      <c r="J42" s="361" t="str">
        <f t="shared" si="3"/>
        <v/>
      </c>
      <c r="K42" s="200">
        <v>39</v>
      </c>
      <c r="L42" s="133">
        <f t="shared" si="4"/>
        <v>0</v>
      </c>
      <c r="M42" s="135" t="s">
        <v>5</v>
      </c>
      <c r="O42" s="244"/>
      <c r="P42" s="244"/>
      <c r="Q42" s="244"/>
      <c r="R42" s="244"/>
      <c r="S42" s="244"/>
      <c r="T42" s="244"/>
      <c r="U42" s="244"/>
      <c r="V42" s="244"/>
      <c r="W42" s="244"/>
      <c r="X42" s="244"/>
      <c r="Y42" s="244"/>
      <c r="Z42" s="244"/>
      <c r="AA42" s="244"/>
      <c r="AB42" s="244"/>
    </row>
    <row r="43" spans="1:28" ht="13.35" customHeight="1">
      <c r="A43" s="50" t="s">
        <v>5</v>
      </c>
      <c r="B43" s="141"/>
      <c r="C43" s="80"/>
      <c r="D43" s="93"/>
      <c r="E43" s="226"/>
      <c r="F43" s="89"/>
      <c r="G43" s="81"/>
      <c r="H43" s="82"/>
      <c r="I43" s="83" t="str">
        <f t="shared" si="2"/>
        <v/>
      </c>
      <c r="J43" s="361" t="str">
        <f t="shared" si="3"/>
        <v/>
      </c>
      <c r="K43" s="200">
        <v>40</v>
      </c>
      <c r="L43" s="133">
        <f t="shared" si="4"/>
        <v>0</v>
      </c>
      <c r="M43" s="135" t="s">
        <v>5</v>
      </c>
      <c r="O43" s="244"/>
      <c r="P43" s="244"/>
      <c r="Q43" s="244"/>
      <c r="R43" s="244"/>
      <c r="S43" s="244"/>
      <c r="T43" s="244"/>
      <c r="U43" s="244"/>
      <c r="V43" s="244"/>
      <c r="W43" s="244"/>
      <c r="X43" s="244"/>
      <c r="Y43" s="244"/>
      <c r="Z43" s="244"/>
      <c r="AA43" s="244"/>
      <c r="AB43" s="244"/>
    </row>
    <row r="44" spans="1:28" ht="13.35" customHeight="1">
      <c r="A44" s="50" t="s">
        <v>5</v>
      </c>
      <c r="B44" s="141"/>
      <c r="C44" s="80"/>
      <c r="D44" s="93"/>
      <c r="E44" s="226"/>
      <c r="F44" s="89"/>
      <c r="G44" s="81"/>
      <c r="H44" s="82"/>
      <c r="I44" s="83" t="str">
        <f t="shared" si="2"/>
        <v/>
      </c>
      <c r="J44" s="361" t="str">
        <f t="shared" si="3"/>
        <v/>
      </c>
      <c r="K44" s="200">
        <v>41</v>
      </c>
      <c r="L44" s="133">
        <f t="shared" si="4"/>
        <v>0</v>
      </c>
      <c r="M44" s="135" t="s">
        <v>5</v>
      </c>
      <c r="O44" s="244"/>
      <c r="P44" s="244"/>
      <c r="Q44" s="244"/>
      <c r="R44" s="244"/>
      <c r="S44" s="244"/>
      <c r="T44" s="244"/>
      <c r="U44" s="244"/>
      <c r="V44" s="244"/>
      <c r="W44" s="244"/>
      <c r="X44" s="244"/>
      <c r="Y44" s="244"/>
      <c r="Z44" s="244"/>
      <c r="AA44" s="244"/>
      <c r="AB44" s="244"/>
    </row>
    <row r="45" spans="1:28" ht="13.35" customHeight="1">
      <c r="A45" s="50" t="s">
        <v>5</v>
      </c>
      <c r="B45" s="141"/>
      <c r="C45" s="80"/>
      <c r="D45" s="93"/>
      <c r="E45" s="226"/>
      <c r="F45" s="89"/>
      <c r="G45" s="81"/>
      <c r="H45" s="82"/>
      <c r="I45" s="83" t="str">
        <f t="shared" ref="I45:I46" si="8">IF(G45&lt;&gt;"",+G45-G45/(1+H45/100),"")</f>
        <v/>
      </c>
      <c r="J45" s="361" t="str">
        <f t="shared" ref="J45:J46" si="9">IF(G45&lt;&gt;0,+G45-I45,"")</f>
        <v/>
      </c>
      <c r="K45" s="200">
        <v>44</v>
      </c>
      <c r="L45" s="133">
        <f t="shared" ref="L45:L46" si="10">IF(B45&lt;$O$2,0,IF(B45&lt;$P$2,1,IF(B45&lt;$Q$2,2,IF(B45&lt;$R$2,3,IF(B45&lt;$S$2,4,IF(B45&lt;$T$2,5,IF(B45&lt;$U$2,6,IF(B45&lt;$V$2,7,IF(B45&lt;$W$2,8,IF(B45&lt;$X$2,9,IF(B45&lt;$Y$2,10,IF(B45&lt;$Z$2,11,IF(B45&lt;=$Z$3,12,0)))))))))))))</f>
        <v>0</v>
      </c>
      <c r="M45" s="135" t="s">
        <v>5</v>
      </c>
      <c r="O45" s="244"/>
      <c r="P45" s="244"/>
      <c r="Q45" s="244"/>
      <c r="R45" s="244"/>
      <c r="S45" s="244"/>
      <c r="T45" s="244"/>
      <c r="U45" s="244"/>
      <c r="V45" s="244"/>
      <c r="W45" s="244"/>
      <c r="X45" s="244"/>
      <c r="Y45" s="244"/>
      <c r="Z45" s="244"/>
      <c r="AA45" s="244"/>
      <c r="AB45" s="244"/>
    </row>
    <row r="46" spans="1:28" ht="13.35" customHeight="1" thickBot="1">
      <c r="A46" s="50" t="s">
        <v>5</v>
      </c>
      <c r="B46" s="141"/>
      <c r="C46" s="80"/>
      <c r="D46" s="93"/>
      <c r="E46" s="226"/>
      <c r="F46" s="89"/>
      <c r="G46" s="81"/>
      <c r="H46" s="82"/>
      <c r="I46" s="83" t="str">
        <f t="shared" si="8"/>
        <v/>
      </c>
      <c r="J46" s="361" t="str">
        <f t="shared" si="9"/>
        <v/>
      </c>
      <c r="K46" s="200">
        <v>45</v>
      </c>
      <c r="L46" s="133">
        <f t="shared" si="10"/>
        <v>0</v>
      </c>
      <c r="M46" s="135" t="s">
        <v>5</v>
      </c>
      <c r="O46" s="244"/>
      <c r="P46" s="244"/>
      <c r="Q46" s="244"/>
      <c r="R46" s="244"/>
      <c r="S46" s="244"/>
      <c r="T46" s="244"/>
      <c r="U46" s="244"/>
      <c r="V46" s="244"/>
      <c r="W46" s="244"/>
      <c r="X46" s="244"/>
      <c r="Y46" s="244"/>
      <c r="Z46" s="244"/>
      <c r="AA46" s="244"/>
      <c r="AB46" s="244"/>
    </row>
    <row r="47" spans="1:28" ht="12" customHeight="1" thickTop="1" thickBot="1">
      <c r="A47" s="391" t="s">
        <v>283</v>
      </c>
      <c r="B47" s="1244" t="str">
        <f>IF($A$48=0,"^ Zeile einfügen","bis hierher ziehen!")</f>
        <v>^ Zeile einfügen</v>
      </c>
      <c r="C47" s="1244"/>
      <c r="D47" s="392" t="s">
        <v>5</v>
      </c>
      <c r="E47" s="393" t="s">
        <v>5</v>
      </c>
      <c r="F47" s="394" t="s">
        <v>5</v>
      </c>
      <c r="G47" s="394"/>
      <c r="H47" s="395"/>
      <c r="I47" s="396"/>
      <c r="J47" s="425"/>
      <c r="K47" s="201">
        <v>0</v>
      </c>
      <c r="L47" s="185" t="s">
        <v>5</v>
      </c>
      <c r="M47" s="398" t="s">
        <v>283</v>
      </c>
    </row>
    <row r="48" spans="1:28" ht="12" customHeight="1" thickTop="1" thickBot="1">
      <c r="A48" s="390">
        <f>COUNTBLANK(A3:A47)+A49</f>
        <v>0</v>
      </c>
      <c r="B48" s="193" t="str">
        <f>+EÜR!C30</f>
        <v>ü</v>
      </c>
      <c r="C48" s="194" t="s">
        <v>5</v>
      </c>
      <c r="D48" s="194" t="s">
        <v>5</v>
      </c>
      <c r="E48" s="195" t="s">
        <v>5</v>
      </c>
      <c r="F48" s="196" t="s">
        <v>5</v>
      </c>
      <c r="G48" s="197">
        <f>SUBTOTAL(9,G3:G47)</f>
        <v>0</v>
      </c>
      <c r="H48" s="1242">
        <f>SUBTOTAL(9,I3:I47)</f>
        <v>0</v>
      </c>
      <c r="I48" s="1243">
        <f>SUBTOTAL(9,I3:I47)</f>
        <v>0</v>
      </c>
      <c r="J48" s="1293">
        <f>G48-H48</f>
        <v>0</v>
      </c>
      <c r="K48" s="1294"/>
      <c r="L48" s="1295"/>
      <c r="M48" s="135" t="s">
        <v>5</v>
      </c>
    </row>
    <row r="49" spans="1:14" ht="12" customHeight="1" thickTop="1" thickBot="1">
      <c r="A49" s="390">
        <f>IF(ISERROR(J47),1,0)</f>
        <v>0</v>
      </c>
      <c r="B49" s="192">
        <f>J48-G49-E49-C49</f>
        <v>0</v>
      </c>
      <c r="C49" s="1239">
        <f>SUMIF(F4:F47,"Kreditkarte",G4:G47)</f>
        <v>0</v>
      </c>
      <c r="D49" s="1239"/>
      <c r="E49" s="1240">
        <f>SUMIF(F4:F47,"Konto",G4:G47)</f>
        <v>0</v>
      </c>
      <c r="F49" s="1240"/>
      <c r="G49" s="1241">
        <f>SUMIF(F4:F47,"Geldbeutel",G4:G47)</f>
        <v>0</v>
      </c>
      <c r="H49" s="1241"/>
      <c r="I49" s="1241"/>
      <c r="J49" s="1296"/>
      <c r="K49" s="1297"/>
      <c r="L49" s="1298"/>
      <c r="M49" s="135" t="s">
        <v>5</v>
      </c>
    </row>
    <row r="50" spans="1:14" s="15" customFormat="1" ht="5.25" customHeight="1" thickTop="1">
      <c r="A50" s="36"/>
      <c r="B50" s="2"/>
      <c r="C50" s="3"/>
      <c r="D50" s="3"/>
      <c r="E50" s="1"/>
      <c r="G50" s="16"/>
      <c r="H50" s="16"/>
      <c r="I50" s="17"/>
      <c r="J50" s="18"/>
      <c r="K50" s="18"/>
      <c r="L50" s="31"/>
      <c r="N50" s="148"/>
    </row>
    <row r="51" spans="1:14">
      <c r="A51" s="36"/>
    </row>
  </sheetData>
  <sheetProtection formatCells="0" insertRows="0" deleteRows="0" selectLockedCells="1" sort="0" autoFilter="0"/>
  <sortState xmlns:xlrd2="http://schemas.microsoft.com/office/spreadsheetml/2017/richdata2" ref="B4:H11">
    <sortCondition ref="B4:B11"/>
  </sortState>
  <mergeCells count="15">
    <mergeCell ref="C2:I2"/>
    <mergeCell ref="J2:L2"/>
    <mergeCell ref="AA9:AB9"/>
    <mergeCell ref="O10:Z10"/>
    <mergeCell ref="O11:Z11"/>
    <mergeCell ref="AA4:AB4"/>
    <mergeCell ref="AA13:AB13"/>
    <mergeCell ref="O14:Z14"/>
    <mergeCell ref="AA14:AB14"/>
    <mergeCell ref="J48:L49"/>
    <mergeCell ref="C49:D49"/>
    <mergeCell ref="E49:F49"/>
    <mergeCell ref="G49:I49"/>
    <mergeCell ref="H48:I48"/>
    <mergeCell ref="B47:C47"/>
  </mergeCells>
  <conditionalFormatting sqref="A4:A46">
    <cfRule type="expression" dxfId="1088" priority="23">
      <formula>ISERROR(J4)</formula>
    </cfRule>
    <cfRule type="cellIs" dxfId="1087" priority="24" operator="equal">
      <formula>""</formula>
    </cfRule>
  </conditionalFormatting>
  <conditionalFormatting sqref="A47:C47">
    <cfRule type="expression" dxfId="1086" priority="8">
      <formula>$A$48&lt;&gt;0</formula>
    </cfRule>
  </conditionalFormatting>
  <conditionalFormatting sqref="B2">
    <cfRule type="expression" dxfId="1085" priority="50" stopIfTrue="1">
      <formula>$B$48="x"</formula>
    </cfRule>
  </conditionalFormatting>
  <conditionalFormatting sqref="B4:B46">
    <cfRule type="cellIs" dxfId="1082" priority="37" operator="equal">
      <formula>""</formula>
    </cfRule>
  </conditionalFormatting>
  <conditionalFormatting sqref="B48">
    <cfRule type="cellIs" dxfId="1081" priority="73" operator="equal">
      <formula>"y"</formula>
    </cfRule>
  </conditionalFormatting>
  <conditionalFormatting sqref="B3:J3">
    <cfRule type="expression" dxfId="1080" priority="10603">
      <formula>$B$48="x"</formula>
    </cfRule>
  </conditionalFormatting>
  <conditionalFormatting sqref="B4:J46">
    <cfRule type="expression" dxfId="1079" priority="33">
      <formula>$B$1="x"</formula>
    </cfRule>
  </conditionalFormatting>
  <conditionalFormatting sqref="B3:L3">
    <cfRule type="expression" dxfId="1078" priority="67">
      <formula>$B$48="x"</formula>
    </cfRule>
  </conditionalFormatting>
  <conditionalFormatting sqref="C4:D46">
    <cfRule type="expression" dxfId="1077" priority="40">
      <formula>AND($B4&lt;&gt;"",$C4="")</formula>
    </cfRule>
  </conditionalFormatting>
  <conditionalFormatting sqref="C49:I49">
    <cfRule type="cellIs" dxfId="1076" priority="72" stopIfTrue="1" operator="lessThan">
      <formula>0</formula>
    </cfRule>
    <cfRule type="cellIs" dxfId="1075" priority="70" stopIfTrue="1" operator="greaterThanOrEqual">
      <formula>0</formula>
    </cfRule>
  </conditionalFormatting>
  <conditionalFormatting sqref="D47:J47">
    <cfRule type="expression" dxfId="1074" priority="10">
      <formula>$A$48&lt;&gt;0</formula>
    </cfRule>
  </conditionalFormatting>
  <conditionalFormatting sqref="H4:H46">
    <cfRule type="expression" dxfId="1073" priority="36">
      <formula>AND(G4&lt;&gt;"",H4="",$I$1&lt;&gt;"x")</formula>
    </cfRule>
  </conditionalFormatting>
  <conditionalFormatting sqref="H4:I46">
    <cfRule type="expression" dxfId="1072" priority="34">
      <formula>AND($I4&lt;&gt;0,$I$1&lt;&gt;"ü")</formula>
    </cfRule>
    <cfRule type="expression" dxfId="1071" priority="35">
      <formula>$I$1&lt;&gt;"ü"</formula>
    </cfRule>
  </conditionalFormatting>
  <conditionalFormatting sqref="J48:L48 C49:L49 C48:H48">
    <cfRule type="expression" dxfId="1069" priority="69">
      <formula>$B$48="x"</formula>
    </cfRule>
  </conditionalFormatting>
  <conditionalFormatting sqref="J48:L49">
    <cfRule type="expression" dxfId="1068" priority="68">
      <formula>AND($B$48="x",$J$48&lt;&gt;0)</formula>
    </cfRule>
  </conditionalFormatting>
  <conditionalFormatting sqref="K4:L46">
    <cfRule type="expression" dxfId="1067" priority="17130">
      <formula>$B$48="x"</formula>
    </cfRule>
  </conditionalFormatting>
  <conditionalFormatting sqref="M3">
    <cfRule type="cellIs" dxfId="1066" priority="32" operator="equal">
      <formula>""</formula>
    </cfRule>
  </conditionalFormatting>
  <conditionalFormatting sqref="M4:M46">
    <cfRule type="expression" dxfId="1065" priority="30">
      <formula>ISERROR(J4)</formula>
    </cfRule>
    <cfRule type="cellIs" dxfId="1064" priority="31" operator="equal">
      <formula>""</formula>
    </cfRule>
  </conditionalFormatting>
  <conditionalFormatting sqref="M47">
    <cfRule type="expression" dxfId="1063" priority="9">
      <formula>$A$48&lt;&gt;0</formula>
    </cfRule>
  </conditionalFormatting>
  <conditionalFormatting sqref="M47:M49">
    <cfRule type="cellIs" dxfId="1062" priority="12" operator="equal">
      <formula>""</formula>
    </cfRule>
  </conditionalFormatting>
  <conditionalFormatting sqref="N10:AB10">
    <cfRule type="expression" dxfId="1061" priority="7">
      <formula>$N$2=0</formula>
    </cfRule>
  </conditionalFormatting>
  <conditionalFormatting sqref="O11:Z11">
    <cfRule type="cellIs" dxfId="1060" priority="54" operator="equal">
      <formula>"Fehler!"</formula>
    </cfRule>
  </conditionalFormatting>
  <conditionalFormatting sqref="O4:AA4">
    <cfRule type="expression" dxfId="1056" priority="49">
      <formula>$N$2=0</formula>
    </cfRule>
  </conditionalFormatting>
  <conditionalFormatting sqref="O2:AB3">
    <cfRule type="expression" dxfId="1054" priority="2">
      <formula>$N$2=0</formula>
    </cfRule>
  </conditionalFormatting>
  <conditionalFormatting sqref="O5:AB8 O9:AA9">
    <cfRule type="expression" dxfId="1053" priority="53">
      <formula>$N$2=0</formula>
    </cfRule>
  </conditionalFormatting>
  <conditionalFormatting sqref="O11:AB14">
    <cfRule type="expression" dxfId="1052" priority="1">
      <formula>$N$2=0</formula>
    </cfRule>
  </conditionalFormatting>
  <conditionalFormatting sqref="O47:AB49">
    <cfRule type="expression" dxfId="1051" priority="11">
      <formula>$N$2=0</formula>
    </cfRule>
  </conditionalFormatting>
  <dataValidations count="2">
    <dataValidation type="list" allowBlank="1" showInputMessage="1" showErrorMessage="1" sqref="H4:H46" xr:uid="{357BAFA6-957E-41DE-9418-2730AF35CA72}">
      <formula1>"19,7,0,~"</formula1>
    </dataValidation>
    <dataValidation type="list" allowBlank="1" showInputMessage="1" showErrorMessage="1" sqref="F4:F46" xr:uid="{74C35C58-ADF4-4934-A667-47B2192122B7}">
      <formula1>"Konto,Geldbeutel,Kreditkarte,x"</formula1>
    </dataValidation>
  </dataValidations>
  <hyperlinks>
    <hyperlink ref="J2" location="'2022 EÜR'!A1" display="Menü" xr:uid="{B11E6CCF-3F22-47E0-ADAD-399170404290}"/>
    <hyperlink ref="J2:L2" location="EÜR!A1" display="EÜR" xr:uid="{255BEA38-5B2E-4706-8AB3-18F007D9C118}"/>
  </hyperlinks>
  <printOptions horizontalCentered="1"/>
  <pageMargins left="0" right="0" top="0" bottom="0.31496062992125984" header="0" footer="0"/>
  <pageSetup paperSize="9" orientation="portrait" r:id="rId1"/>
  <headerFooter>
    <oddFooter>&amp;L&amp;"Arial,Standard"&amp;8Datei: &amp;Z&amp;F/&amp;A&amp;C&amp;"Arial,Standard"&amp;8Seite &amp;P von &amp;N&amp;R&amp;"Arial,Standard"&amp;8Druck: &amp;D&amp;T Uhr</oddFooter>
  </headerFooter>
  <extLst>
    <ext xmlns:x14="http://schemas.microsoft.com/office/spreadsheetml/2009/9/main" uri="{78C0D931-6437-407d-A8EE-F0AAD7539E65}">
      <x14:conditionalFormattings>
        <x14:conditionalFormatting xmlns:xm="http://schemas.microsoft.com/office/excel/2006/main">
          <x14:cfRule type="cellIs" priority="38" operator="greaterThan" id="{2BF95E6F-A8DC-4416-BC7C-425FC7E2C19D}">
            <xm:f>EÜR!$I$78</xm:f>
            <x14:dxf>
              <font>
                <b/>
                <i val="0"/>
                <color rgb="FFFFFF00"/>
              </font>
              <fill>
                <patternFill>
                  <bgColor rgb="FFC00000"/>
                </patternFill>
              </fill>
            </x14:dxf>
          </x14:cfRule>
          <x14:cfRule type="cellIs" priority="39" operator="lessThan" id="{130C5031-48A4-462E-A23A-DEA5F0617AE8}">
            <xm:f>EÜR!$I$77</xm:f>
            <x14:dxf>
              <font>
                <b/>
                <i val="0"/>
                <color rgb="FFFFFF00"/>
              </font>
              <fill>
                <patternFill>
                  <bgColor rgb="FFC00000"/>
                </patternFill>
              </fill>
            </x14:dxf>
          </x14:cfRule>
          <xm:sqref>B4:B46</xm:sqref>
        </x14:conditionalFormatting>
        <x14:conditionalFormatting xmlns:xm="http://schemas.microsoft.com/office/excel/2006/main">
          <x14:cfRule type="expression" priority="51" id="{CCBB4217-86B5-4D32-B046-E3E46CD34DF4}">
            <xm:f>AND(EÜR!$J$66&lt;&gt;"ü",$H$48&lt;&gt;0)</xm:f>
            <x14:dxf>
              <font>
                <b/>
                <i val="0"/>
                <color rgb="FFFFFF00"/>
              </font>
              <fill>
                <patternFill>
                  <bgColor rgb="FFFF0000"/>
                </patternFill>
              </fill>
            </x14:dxf>
          </x14:cfRule>
          <xm:sqref>H48:I48</xm:sqref>
        </x14:conditionalFormatting>
        <x14:conditionalFormatting xmlns:xm="http://schemas.microsoft.com/office/excel/2006/main">
          <x14:cfRule type="expression" priority="55" id="{8751477E-6B4B-4725-9319-6E2A87821018}">
            <xm:f>AND(O13&lt;&gt;0,U!L36="!",U!L37="!")</xm:f>
            <x14:dxf>
              <font>
                <b/>
                <i val="0"/>
                <color rgb="FFFF0000"/>
              </font>
              <fill>
                <patternFill>
                  <bgColor rgb="FFFFCCCC"/>
                </patternFill>
              </fill>
            </x14:dxf>
          </x14:cfRule>
          <x14:cfRule type="expression" priority="56" id="{DB19463D-7A89-4DCA-9A05-6B38962CEF7C}">
            <xm:f>U!L37&lt;&gt;"!"</xm:f>
            <x14:dxf>
              <font>
                <b/>
                <i val="0"/>
                <color rgb="FF006666"/>
              </font>
              <fill>
                <patternFill>
                  <bgColor theme="6" tint="0.39994506668294322"/>
                </patternFill>
              </fill>
            </x14:dxf>
          </x14:cfRule>
          <x14:cfRule type="expression" priority="57" id="{A332EA30-04C3-4C98-AB73-5722D196A0FA}">
            <xm:f>U!L36&lt;&gt;"!"</xm:f>
            <x14:dxf>
              <font>
                <b/>
                <i val="0"/>
                <color theme="9" tint="-0.499984740745262"/>
              </font>
              <fill>
                <patternFill>
                  <bgColor rgb="FFFFFF99"/>
                </patternFill>
              </fill>
            </x14:dxf>
          </x14:cfRule>
          <xm:sqref>O13:Z13</xm:sqref>
        </x14:conditionalFormatting>
        <x14:conditionalFormatting xmlns:xm="http://schemas.microsoft.com/office/excel/2006/main">
          <x14:cfRule type="expression" priority="3" id="{275BD828-65BF-4A97-A8DF-0ED07AA78092}">
            <xm:f>EÜR!$J$66="-"</xm:f>
            <x14:dxf>
              <font>
                <b/>
                <i val="0"/>
                <color theme="0"/>
              </font>
              <fill>
                <patternFill>
                  <bgColor theme="0"/>
                </patternFill>
              </fill>
              <border>
                <left/>
                <right/>
                <top/>
                <bottom/>
              </border>
            </x14:dxf>
          </x14:cfRule>
          <xm:sqref>O12:AA14</xm:sqref>
        </x14:conditionalFormatting>
      </x14:conditionalFormattings>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0A0C58-B851-44DE-B982-1AB85D12EE18}">
  <sheetPr codeName="Tabelle18">
    <tabColor theme="9" tint="0.39997558519241921"/>
    <pageSetUpPr autoPageBreaks="0"/>
  </sheetPr>
  <dimension ref="A1:AB51"/>
  <sheetViews>
    <sheetView showGridLines="0" showRowColHeaders="0" zoomScaleNormal="100" workbookViewId="0">
      <pane ySplit="3" topLeftCell="A4" activePane="bottomLeft" state="frozen"/>
      <selection activeCell="F4" sqref="F4:F46"/>
      <selection pane="bottomLeft" activeCell="A4" sqref="A4"/>
    </sheetView>
  </sheetViews>
  <sheetFormatPr baseColWidth="10" defaultColWidth="9.77734375" defaultRowHeight="12.75"/>
  <cols>
    <col min="1" max="1" width="0.77734375" style="12" customWidth="1"/>
    <col min="2" max="2" width="7.6640625" style="30" customWidth="1"/>
    <col min="3" max="3" width="21.6640625" style="24" customWidth="1"/>
    <col min="4" max="4" width="7.6640625" style="24" customWidth="1"/>
    <col min="5" max="5" width="6.6640625" style="25" customWidth="1"/>
    <col min="6" max="6" width="9.6640625" style="26" customWidth="1"/>
    <col min="7" max="7" width="9.6640625" style="27" customWidth="1"/>
    <col min="8" max="8" width="2.6640625" style="28" customWidth="1"/>
    <col min="9" max="9" width="6.6640625" style="29" customWidth="1"/>
    <col min="10" max="10" width="9.6640625" style="27" customWidth="1"/>
    <col min="11" max="11" width="2.5546875" style="27" hidden="1" customWidth="1"/>
    <col min="12" max="12" width="1.5546875" style="32" hidden="1" customWidth="1"/>
    <col min="13" max="13" width="0.77734375" style="13" customWidth="1"/>
    <col min="14" max="14" width="1.77734375" style="147" customWidth="1"/>
    <col min="15" max="26" width="8.77734375" style="13" customWidth="1"/>
    <col min="27" max="27" width="10.33203125" style="13" customWidth="1"/>
    <col min="28" max="28" width="8.33203125" style="13" customWidth="1"/>
    <col min="29" max="16384" width="9.77734375" style="13"/>
  </cols>
  <sheetData>
    <row r="1" spans="1:28" s="37" customFormat="1" ht="3" customHeight="1" thickBot="1">
      <c r="A1" s="36"/>
      <c r="B1" s="53" t="str">
        <f>+B48</f>
        <v>ü</v>
      </c>
      <c r="C1" s="54">
        <f>+C49</f>
        <v>0</v>
      </c>
      <c r="D1" s="54"/>
      <c r="E1" s="53">
        <f>+E49</f>
        <v>0</v>
      </c>
      <c r="F1" s="53"/>
      <c r="G1" s="54">
        <f>+G49</f>
        <v>0</v>
      </c>
      <c r="H1" s="53"/>
      <c r="I1" s="338" t="str">
        <f>+EÜR!J66</f>
        <v>-</v>
      </c>
      <c r="J1" s="54">
        <f>+J48</f>
        <v>0</v>
      </c>
      <c r="K1" s="198"/>
      <c r="L1" s="56"/>
      <c r="N1" s="190"/>
    </row>
    <row r="2" spans="1:28" ht="23.1" customHeight="1" thickTop="1" thickBot="1">
      <c r="A2" s="36"/>
      <c r="B2" s="296" t="str">
        <f>+EÜR!D31</f>
        <v>A10</v>
      </c>
      <c r="C2" s="1290" t="str">
        <f>+EÜR!F31</f>
        <v>Fortbildungskosten (ohne Reisekosten)</v>
      </c>
      <c r="D2" s="1291"/>
      <c r="E2" s="1291"/>
      <c r="F2" s="1291"/>
      <c r="G2" s="1291"/>
      <c r="H2" s="1291"/>
      <c r="I2" s="1292"/>
      <c r="J2" s="1227" t="s">
        <v>8</v>
      </c>
      <c r="K2" s="1228"/>
      <c r="L2" s="1229"/>
      <c r="M2" s="134"/>
      <c r="N2" s="190">
        <f>IF(OR(B48="x",N3=1),0,1)</f>
        <v>1</v>
      </c>
      <c r="O2" s="188">
        <f>+EOMONTH(EÜR!$I$3,-1)+1</f>
        <v>46023</v>
      </c>
      <c r="P2" s="188">
        <f t="shared" ref="P2:Z2" si="0">+O3+1</f>
        <v>46054</v>
      </c>
      <c r="Q2" s="188">
        <f t="shared" si="0"/>
        <v>46082</v>
      </c>
      <c r="R2" s="188">
        <f t="shared" si="0"/>
        <v>46113</v>
      </c>
      <c r="S2" s="188">
        <f t="shared" si="0"/>
        <v>46143</v>
      </c>
      <c r="T2" s="188">
        <f t="shared" si="0"/>
        <v>46174</v>
      </c>
      <c r="U2" s="188">
        <f t="shared" si="0"/>
        <v>46204</v>
      </c>
      <c r="V2" s="188">
        <f t="shared" si="0"/>
        <v>46235</v>
      </c>
      <c r="W2" s="188">
        <f t="shared" si="0"/>
        <v>46266</v>
      </c>
      <c r="X2" s="188">
        <f t="shared" si="0"/>
        <v>46296</v>
      </c>
      <c r="Y2" s="188">
        <f t="shared" si="0"/>
        <v>46327</v>
      </c>
      <c r="Z2" s="188">
        <f t="shared" si="0"/>
        <v>46357</v>
      </c>
      <c r="AA2" s="48"/>
    </row>
    <row r="3" spans="1:28" ht="14.25" customHeight="1" thickTop="1">
      <c r="A3" s="36" t="s">
        <v>5</v>
      </c>
      <c r="B3" s="58" t="s">
        <v>1</v>
      </c>
      <c r="C3" s="59" t="s">
        <v>6</v>
      </c>
      <c r="D3" s="60"/>
      <c r="E3" s="310" t="s">
        <v>7</v>
      </c>
      <c r="F3" s="61" t="s">
        <v>4</v>
      </c>
      <c r="G3" s="62" t="s">
        <v>31</v>
      </c>
      <c r="H3" s="63" t="s">
        <v>33</v>
      </c>
      <c r="I3" s="64" t="s">
        <v>32</v>
      </c>
      <c r="J3" s="275" t="s">
        <v>34</v>
      </c>
      <c r="K3" s="199">
        <v>0</v>
      </c>
      <c r="L3" s="65" t="s">
        <v>5</v>
      </c>
      <c r="M3" s="135" t="s">
        <v>5</v>
      </c>
      <c r="N3" s="222">
        <f>IF(SUBTOTAL(109,K3:K47)&lt;&gt;SUM(K3:K47),1,0)</f>
        <v>0</v>
      </c>
      <c r="O3" s="189">
        <f>EOMONTH(O2,0)</f>
        <v>46053</v>
      </c>
      <c r="P3" s="189">
        <f t="shared" ref="P3:Z3" si="1">EOMONTH(P2,0)</f>
        <v>46081</v>
      </c>
      <c r="Q3" s="189">
        <f t="shared" si="1"/>
        <v>46112</v>
      </c>
      <c r="R3" s="189">
        <f t="shared" si="1"/>
        <v>46142</v>
      </c>
      <c r="S3" s="189">
        <f t="shared" si="1"/>
        <v>46173</v>
      </c>
      <c r="T3" s="189">
        <f t="shared" si="1"/>
        <v>46203</v>
      </c>
      <c r="U3" s="189">
        <f t="shared" si="1"/>
        <v>46234</v>
      </c>
      <c r="V3" s="189">
        <f t="shared" si="1"/>
        <v>46265</v>
      </c>
      <c r="W3" s="189">
        <f t="shared" si="1"/>
        <v>46295</v>
      </c>
      <c r="X3" s="189">
        <f t="shared" si="1"/>
        <v>46326</v>
      </c>
      <c r="Y3" s="189">
        <f t="shared" si="1"/>
        <v>46356</v>
      </c>
      <c r="Z3" s="189">
        <f t="shared" si="1"/>
        <v>46387</v>
      </c>
      <c r="AB3" s="14"/>
    </row>
    <row r="4" spans="1:28" ht="13.35" customHeight="1">
      <c r="A4" s="50" t="s">
        <v>5</v>
      </c>
      <c r="B4" s="141"/>
      <c r="C4" s="80"/>
      <c r="D4" s="93"/>
      <c r="E4" s="226"/>
      <c r="F4" s="89"/>
      <c r="G4" s="81"/>
      <c r="H4" s="82"/>
      <c r="I4" s="83" t="str">
        <f t="shared" ref="I4:I44" si="2">IF(G4&lt;&gt;"",+G4-G4/(1+H4/100),"")</f>
        <v/>
      </c>
      <c r="J4" s="361" t="str">
        <f t="shared" ref="J4:J44" si="3">IF(G4&lt;&gt;0,+G4-I4,"")</f>
        <v/>
      </c>
      <c r="K4" s="200">
        <v>1</v>
      </c>
      <c r="L4" s="133">
        <f>IF(B4&lt;$O$2,0,IF(B4&lt;$P$2,1,IF(B4&lt;$Q$2,2,IF(B4&lt;$R$2,3,IF(B4&lt;$S$2,4,IF(B4&lt;$T$2,5,IF(B4&lt;$U$2,6,IF(B4&lt;$V$2,7,IF(B4&lt;$W$2,8,IF(B4&lt;$X$2,9,IF(B4&lt;$Y$2,10,IF(B4&lt;$Z$2,11,IF(B4&lt;=$Z$3,12,0)))))))))))))</f>
        <v>0</v>
      </c>
      <c r="M4" s="135" t="s">
        <v>5</v>
      </c>
      <c r="N4" s="190">
        <f>+N10+AA12+AA16</f>
        <v>0</v>
      </c>
      <c r="O4" s="251" t="s">
        <v>36</v>
      </c>
      <c r="P4" s="251" t="s">
        <v>37</v>
      </c>
      <c r="Q4" s="251" t="s">
        <v>38</v>
      </c>
      <c r="R4" s="251" t="s">
        <v>39</v>
      </c>
      <c r="S4" s="251" t="s">
        <v>40</v>
      </c>
      <c r="T4" s="251" t="s">
        <v>41</v>
      </c>
      <c r="U4" s="251" t="s">
        <v>42</v>
      </c>
      <c r="V4" s="251" t="s">
        <v>43</v>
      </c>
      <c r="W4" s="251" t="s">
        <v>44</v>
      </c>
      <c r="X4" s="251" t="s">
        <v>45</v>
      </c>
      <c r="Y4" s="251" t="s">
        <v>46</v>
      </c>
      <c r="Z4" s="251" t="s">
        <v>47</v>
      </c>
      <c r="AA4" s="1209" t="s">
        <v>255</v>
      </c>
      <c r="AB4" s="1210"/>
    </row>
    <row r="5" spans="1:28" ht="13.35" customHeight="1">
      <c r="A5" s="50" t="s">
        <v>5</v>
      </c>
      <c r="B5" s="141"/>
      <c r="C5" s="80"/>
      <c r="D5" s="93"/>
      <c r="E5" s="226"/>
      <c r="F5" s="89"/>
      <c r="G5" s="81"/>
      <c r="H5" s="82"/>
      <c r="I5" s="83" t="str">
        <f t="shared" si="2"/>
        <v/>
      </c>
      <c r="J5" s="361" t="str">
        <f t="shared" si="3"/>
        <v/>
      </c>
      <c r="K5" s="200">
        <v>2</v>
      </c>
      <c r="L5" s="133">
        <f t="shared" ref="L5:L44" si="4">IF(B5&lt;$O$2,0,IF(B5&lt;$P$2,1,IF(B5&lt;$Q$2,2,IF(B5&lt;$R$2,3,IF(B5&lt;$S$2,4,IF(B5&lt;$T$2,5,IF(B5&lt;$U$2,6,IF(B5&lt;$V$2,7,IF(B5&lt;$W$2,8,IF(B5&lt;$X$2,9,IF(B5&lt;$Y$2,10,IF(B5&lt;$Z$2,11,IF(B5&lt;=$Z$3,12,0)))))))))))))</f>
        <v>0</v>
      </c>
      <c r="M5" s="135" t="s">
        <v>5</v>
      </c>
      <c r="O5" s="252">
        <f>SUMIFS($G$3:$G$47,$L$3:$L$47,1,$F$3:$F$47,"Konto")</f>
        <v>0</v>
      </c>
      <c r="P5" s="252">
        <f>SUMIFS($G$3:$G$47,$L$3:$L$47,2,$F$3:$F$47,"Konto")</f>
        <v>0</v>
      </c>
      <c r="Q5" s="252">
        <f>SUMIFS($G$3:$G$47,$L$3:$L$47,3,$F$3:$F$47,"Konto")</f>
        <v>0</v>
      </c>
      <c r="R5" s="252">
        <f>SUMIFS($G$3:$G$47,$L$3:$L$47,4,$F$3:$F$47,"Konto")</f>
        <v>0</v>
      </c>
      <c r="S5" s="252">
        <f>SUMIFS($G$3:$G$47,$L$3:$L$47,5,$F$3:$F$47,"Konto")</f>
        <v>0</v>
      </c>
      <c r="T5" s="252">
        <f>SUMIFS($G$3:$G$47,$L$3:$L$47,6,$F$3:$F$47,"Konto")</f>
        <v>0</v>
      </c>
      <c r="U5" s="252">
        <f>SUMIFS($G$3:$G$47,$L$3:$L$47,7,$F$3:$F$47,"Konto")</f>
        <v>0</v>
      </c>
      <c r="V5" s="252">
        <f>SUMIFS($G$3:$G$47,$L$3:$L$47,8,$F$3:$F$47,"Konto")</f>
        <v>0</v>
      </c>
      <c r="W5" s="252">
        <f>SUMIFS($G$3:$G$47,$L$3:$L$47,9,$F$3:$F$47,"Konto")</f>
        <v>0</v>
      </c>
      <c r="X5" s="252">
        <f>SUMIFS($G$3:$G$47,$L$3:$L$47,10,$F$3:$F$47,"Konto")</f>
        <v>0</v>
      </c>
      <c r="Y5" s="252">
        <f>SUMIFS($G$3:$G$47,$L$3:$L$47,11,$F$3:$F$47,"Konto")</f>
        <v>0</v>
      </c>
      <c r="Z5" s="252">
        <f>SUMIFS($G$3:$G$47,$L$3:$L$47,12,$F$3:$F$47,"Konto")</f>
        <v>0</v>
      </c>
      <c r="AA5" s="253">
        <f>SUM(O5:Z5)</f>
        <v>0</v>
      </c>
      <c r="AB5" s="254" t="s">
        <v>140</v>
      </c>
    </row>
    <row r="6" spans="1:28" ht="13.35" customHeight="1">
      <c r="A6" s="50" t="s">
        <v>5</v>
      </c>
      <c r="B6" s="141"/>
      <c r="C6" s="80"/>
      <c r="D6" s="93"/>
      <c r="E6" s="226"/>
      <c r="F6" s="89"/>
      <c r="G6" s="81"/>
      <c r="H6" s="82"/>
      <c r="I6" s="83" t="str">
        <f t="shared" si="2"/>
        <v/>
      </c>
      <c r="J6" s="361" t="str">
        <f t="shared" si="3"/>
        <v/>
      </c>
      <c r="K6" s="200">
        <v>3</v>
      </c>
      <c r="L6" s="133">
        <f t="shared" si="4"/>
        <v>0</v>
      </c>
      <c r="M6" s="135" t="s">
        <v>5</v>
      </c>
      <c r="N6" s="190"/>
      <c r="O6" s="252">
        <f>SUMIFS($G$3:$G$47,$L$3:$L$47,1,$F$3:$F$47,"Kreditkarte")</f>
        <v>0</v>
      </c>
      <c r="P6" s="252">
        <f>SUMIFS($G$3:$G$47,$L$3:$L$47,2,$F$3:$F$47,"Kreditkarte")</f>
        <v>0</v>
      </c>
      <c r="Q6" s="252">
        <f>SUMIFS($G$3:$G$47,$L$3:$L$47,3,$F$3:$F$47,"Kreditkarte")</f>
        <v>0</v>
      </c>
      <c r="R6" s="252">
        <f>SUMIFS($G$3:$G$47,$L$3:$L$47,4,$F$3:$F$47,"Kreditkarte")</f>
        <v>0</v>
      </c>
      <c r="S6" s="252">
        <f>SUMIFS($G$3:$G$47,$L$3:$L$47,5,$F$3:$F$47,"Kreditkarte")</f>
        <v>0</v>
      </c>
      <c r="T6" s="252">
        <f>SUMIFS($G$3:$G$47,$L$3:$L$47,6,$F$3:$F$47,"Kreditkarte")</f>
        <v>0</v>
      </c>
      <c r="U6" s="252">
        <f>SUMIFS($G$3:$G$47,$L$3:$L$47,7,$F$3:$F$47,"Kreditkarte")</f>
        <v>0</v>
      </c>
      <c r="V6" s="252">
        <f>SUMIFS($G$3:$G$47,$L$3:$L$47,8,$F$3:$F$47,"Kreditkarte")</f>
        <v>0</v>
      </c>
      <c r="W6" s="252">
        <f>SUMIFS($G$3:$G$47,$L$3:$L$47,9,$F$3:$F$47,"Kreditkarte")</f>
        <v>0</v>
      </c>
      <c r="X6" s="252">
        <f>SUMIFS($G$3:$G$47,$L$3:$L$47,10,$F$3:$F$47,"Kreditkarte")</f>
        <v>0</v>
      </c>
      <c r="Y6" s="252">
        <f>SUMIFS($G$3:$G$47,$L$3:$L$47,11,$F$3:$F$47,"Kreditkarte")</f>
        <v>0</v>
      </c>
      <c r="Z6" s="252">
        <f>SUMIFS($G$3:$G$47,$L$3:$L$47,12,$F$3:$F$47,"Kreditkarte")</f>
        <v>0</v>
      </c>
      <c r="AA6" s="255">
        <f t="shared" ref="AA6:AA8" si="5">SUM(O6:Z6)</f>
        <v>0</v>
      </c>
      <c r="AB6" s="256" t="s">
        <v>142</v>
      </c>
    </row>
    <row r="7" spans="1:28" ht="13.35" customHeight="1">
      <c r="A7" s="50" t="s">
        <v>5</v>
      </c>
      <c r="B7" s="141"/>
      <c r="C7" s="80"/>
      <c r="D7" s="93"/>
      <c r="E7" s="226"/>
      <c r="F7" s="89"/>
      <c r="G7" s="81"/>
      <c r="H7" s="82"/>
      <c r="I7" s="83" t="str">
        <f t="shared" si="2"/>
        <v/>
      </c>
      <c r="J7" s="361" t="str">
        <f t="shared" si="3"/>
        <v/>
      </c>
      <c r="K7" s="200">
        <v>4</v>
      </c>
      <c r="L7" s="133">
        <f t="shared" si="4"/>
        <v>0</v>
      </c>
      <c r="M7" s="135" t="s">
        <v>5</v>
      </c>
      <c r="O7" s="252">
        <f>SUMIFS($G$3:$G$47,$L$3:$L$47,1,$F$3:$F$47,"Geldbeutel")</f>
        <v>0</v>
      </c>
      <c r="P7" s="252">
        <f>SUMIFS($G$3:$G$47,$L$3:$L$47,2,$F$3:$F$47,"Geldbeutel")</f>
        <v>0</v>
      </c>
      <c r="Q7" s="252">
        <f>SUMIFS($G$3:$G$47,$L$3:$L$47,3,$F$3:$F$47,"Geldbeutel")</f>
        <v>0</v>
      </c>
      <c r="R7" s="252">
        <f>SUMIFS($G$3:$G$47,$L$3:$L$47,4,$F$3:$F$47,"Geldbeutel")</f>
        <v>0</v>
      </c>
      <c r="S7" s="252">
        <f>SUMIFS($G$3:$G$47,$L$3:$L$47,5,$F$3:$F$47,"Geldbeutel")</f>
        <v>0</v>
      </c>
      <c r="T7" s="252">
        <f>SUMIFS($G$3:$G$47,$L$3:$L$47,6,$F$3:$F$47,"Geldbeutel")</f>
        <v>0</v>
      </c>
      <c r="U7" s="252">
        <f>SUMIFS($G$3:$G$47,$L$3:$L$47,7,$F$3:$F$47,"Geldbeutel")</f>
        <v>0</v>
      </c>
      <c r="V7" s="252">
        <f>SUMIFS($G$3:$G$47,$L$3:$L$47,8,$F$3:$F$47,"Geldbeutel")</f>
        <v>0</v>
      </c>
      <c r="W7" s="252">
        <f>SUMIFS($G$3:$G$47,$L$3:$L$47,9,$F$3:$F$47,"Geldbeutel")</f>
        <v>0</v>
      </c>
      <c r="X7" s="252">
        <f>SUMIFS($G$3:$G$47,$L$3:$L$47,10,$F$3:$F$47,"Geldbeutel")</f>
        <v>0</v>
      </c>
      <c r="Y7" s="252">
        <f>SUMIFS($G$3:$G$47,$L$3:$L$47,11,$F$3:$F$47,"Geldbeutel")</f>
        <v>0</v>
      </c>
      <c r="Z7" s="252">
        <f>SUMIFS($G$3:$G$47,$L$3:$L$47,12,$F$3:$F$47,"Geldbeutel")</f>
        <v>0</v>
      </c>
      <c r="AA7" s="253">
        <f t="shared" si="5"/>
        <v>0</v>
      </c>
      <c r="AB7" s="254" t="s">
        <v>139</v>
      </c>
    </row>
    <row r="8" spans="1:28" ht="13.35" customHeight="1">
      <c r="A8" s="50" t="s">
        <v>5</v>
      </c>
      <c r="B8" s="141"/>
      <c r="C8" s="80"/>
      <c r="D8" s="93"/>
      <c r="E8" s="226"/>
      <c r="F8" s="89"/>
      <c r="G8" s="81"/>
      <c r="H8" s="82"/>
      <c r="I8" s="83" t="str">
        <f t="shared" si="2"/>
        <v/>
      </c>
      <c r="J8" s="361" t="str">
        <f t="shared" si="3"/>
        <v/>
      </c>
      <c r="K8" s="200">
        <v>5</v>
      </c>
      <c r="L8" s="133">
        <f t="shared" si="4"/>
        <v>0</v>
      </c>
      <c r="M8" s="135" t="s">
        <v>5</v>
      </c>
      <c r="O8" s="252">
        <f>SUMIFS($G$3:$G$47,$L$3:$L$47,1,$F$3:$F$47,"X")</f>
        <v>0</v>
      </c>
      <c r="P8" s="252">
        <f>SUMIFS($G$3:$G$47,$L$3:$L$47,2,$F$3:$F$47,"X")</f>
        <v>0</v>
      </c>
      <c r="Q8" s="252">
        <f>SUMIFS($G$3:$G$47,$L$3:$L$47,3,$F$3:$F$47,"X")</f>
        <v>0</v>
      </c>
      <c r="R8" s="252">
        <f>SUMIFS($G$3:$G$47,$L$3:$L$47,4,$F$3:$F$47,"X")</f>
        <v>0</v>
      </c>
      <c r="S8" s="252">
        <f>SUMIFS($G$3:$G$47,$L$3:$L$47,5,$F$3:$F$47,"X")</f>
        <v>0</v>
      </c>
      <c r="T8" s="252">
        <f>SUMIFS($G$3:$G$47,$L$3:$L$47,6,$F$3:$F$47,"X")</f>
        <v>0</v>
      </c>
      <c r="U8" s="252">
        <f>SUMIFS($G$3:$G$47,$L$3:$L$47,7,$F$3:$F$47,"X")</f>
        <v>0</v>
      </c>
      <c r="V8" s="252">
        <f>SUMIFS($G$3:$G$47,$L$3:$L$47,8,$F$3:$F$47,"X")</f>
        <v>0</v>
      </c>
      <c r="W8" s="252">
        <f>SUMIFS($G$3:$G$47,$L$3:$L$47,9,$F$3:$F$47,"X")</f>
        <v>0</v>
      </c>
      <c r="X8" s="252">
        <f>SUMIFS($G$3:$G$47,$L$3:$L$47,10,$F$3:$F$47,"X")</f>
        <v>0</v>
      </c>
      <c r="Y8" s="252">
        <f>SUMIFS($G$3:$G$47,$L$3:$L$47,11,$F$3:$F$47,"X")</f>
        <v>0</v>
      </c>
      <c r="Z8" s="252">
        <f>SUMIFS($G$3:$G$47,$L$3:$L$47,12,$F$3:$F$47,"X")</f>
        <v>0</v>
      </c>
      <c r="AA8" s="255">
        <f t="shared" si="5"/>
        <v>0</v>
      </c>
      <c r="AB8" s="256" t="s">
        <v>192</v>
      </c>
    </row>
    <row r="9" spans="1:28" ht="13.35" customHeight="1">
      <c r="A9" s="50" t="s">
        <v>5</v>
      </c>
      <c r="B9" s="141"/>
      <c r="C9" s="80"/>
      <c r="D9" s="93"/>
      <c r="E9" s="226"/>
      <c r="F9" s="89"/>
      <c r="G9" s="81"/>
      <c r="H9" s="82"/>
      <c r="I9" s="83" t="str">
        <f t="shared" si="2"/>
        <v/>
      </c>
      <c r="J9" s="361" t="str">
        <f t="shared" si="3"/>
        <v/>
      </c>
      <c r="K9" s="200">
        <v>6</v>
      </c>
      <c r="L9" s="133">
        <f t="shared" si="4"/>
        <v>0</v>
      </c>
      <c r="M9" s="135" t="s">
        <v>5</v>
      </c>
      <c r="N9" s="191">
        <f>IF(OR(AND(AA14&lt;&gt;0,B48="x"),(O14+AA13)&lt;&gt;H48),1,0)</f>
        <v>0</v>
      </c>
      <c r="O9" s="257">
        <f>SUM(O5:O8)</f>
        <v>0</v>
      </c>
      <c r="P9" s="257">
        <f t="shared" ref="P9:Z9" si="6">SUM(P5:P8)</f>
        <v>0</v>
      </c>
      <c r="Q9" s="257">
        <f t="shared" si="6"/>
        <v>0</v>
      </c>
      <c r="R9" s="257">
        <f t="shared" si="6"/>
        <v>0</v>
      </c>
      <c r="S9" s="257">
        <f t="shared" si="6"/>
        <v>0</v>
      </c>
      <c r="T9" s="257">
        <f t="shared" si="6"/>
        <v>0</v>
      </c>
      <c r="U9" s="257">
        <f t="shared" si="6"/>
        <v>0</v>
      </c>
      <c r="V9" s="257">
        <f t="shared" si="6"/>
        <v>0</v>
      </c>
      <c r="W9" s="257">
        <f t="shared" si="6"/>
        <v>0</v>
      </c>
      <c r="X9" s="257">
        <f t="shared" si="6"/>
        <v>0</v>
      </c>
      <c r="Y9" s="257">
        <f t="shared" si="6"/>
        <v>0</v>
      </c>
      <c r="Z9" s="257">
        <f t="shared" si="6"/>
        <v>0</v>
      </c>
      <c r="AA9" s="1211" t="s">
        <v>197</v>
      </c>
      <c r="AB9" s="1212"/>
    </row>
    <row r="10" spans="1:28" ht="13.35" customHeight="1">
      <c r="A10" s="50" t="s">
        <v>5</v>
      </c>
      <c r="B10" s="141"/>
      <c r="C10" s="80"/>
      <c r="D10" s="93"/>
      <c r="E10" s="226"/>
      <c r="F10" s="89"/>
      <c r="G10" s="81"/>
      <c r="H10" s="82"/>
      <c r="I10" s="83" t="str">
        <f t="shared" si="2"/>
        <v/>
      </c>
      <c r="J10" s="361" t="str">
        <f t="shared" si="3"/>
        <v/>
      </c>
      <c r="K10" s="200">
        <v>7</v>
      </c>
      <c r="L10" s="133">
        <f t="shared" si="4"/>
        <v>0</v>
      </c>
      <c r="M10" s="135" t="s">
        <v>5</v>
      </c>
      <c r="N10" s="259">
        <f>IF(O10+AA10&lt;&gt;G48,1,0)</f>
        <v>0</v>
      </c>
      <c r="O10" s="1230">
        <f>SUM(O5:Z8)</f>
        <v>0</v>
      </c>
      <c r="P10" s="1231"/>
      <c r="Q10" s="1231"/>
      <c r="R10" s="1231"/>
      <c r="S10" s="1231"/>
      <c r="T10" s="1231"/>
      <c r="U10" s="1231"/>
      <c r="V10" s="1231"/>
      <c r="W10" s="1231"/>
      <c r="X10" s="1231"/>
      <c r="Y10" s="1231"/>
      <c r="Z10" s="1232"/>
      <c r="AA10" s="292">
        <f>+G48-AA7-AA6-AA5-AA8</f>
        <v>0</v>
      </c>
      <c r="AB10" s="293" t="s">
        <v>205</v>
      </c>
    </row>
    <row r="11" spans="1:28" ht="13.35" customHeight="1">
      <c r="A11" s="50" t="s">
        <v>5</v>
      </c>
      <c r="B11" s="141"/>
      <c r="C11" s="80"/>
      <c r="D11" s="93"/>
      <c r="E11" s="226"/>
      <c r="F11" s="89"/>
      <c r="G11" s="81"/>
      <c r="H11" s="82"/>
      <c r="I11" s="83" t="str">
        <f t="shared" si="2"/>
        <v/>
      </c>
      <c r="J11" s="361" t="str">
        <f t="shared" si="3"/>
        <v/>
      </c>
      <c r="K11" s="200">
        <v>8</v>
      </c>
      <c r="L11" s="133">
        <f t="shared" si="4"/>
        <v>0</v>
      </c>
      <c r="M11" s="135" t="s">
        <v>5</v>
      </c>
      <c r="O11" s="1219" t="str">
        <f>IF(N4&gt;0,"Fehler!","")</f>
        <v/>
      </c>
      <c r="P11" s="1219"/>
      <c r="Q11" s="1219"/>
      <c r="R11" s="1219"/>
      <c r="S11" s="1219"/>
      <c r="T11" s="1219"/>
      <c r="U11" s="1219"/>
      <c r="V11" s="1219"/>
      <c r="W11" s="1219"/>
      <c r="X11" s="1219"/>
      <c r="Y11" s="1219"/>
      <c r="Z11" s="1219"/>
    </row>
    <row r="12" spans="1:28" ht="13.35" customHeight="1">
      <c r="A12" s="50" t="s">
        <v>5</v>
      </c>
      <c r="B12" s="141"/>
      <c r="C12" s="80"/>
      <c r="D12" s="93"/>
      <c r="E12" s="226"/>
      <c r="F12" s="89"/>
      <c r="G12" s="81"/>
      <c r="H12" s="82"/>
      <c r="I12" s="83" t="str">
        <f t="shared" si="2"/>
        <v/>
      </c>
      <c r="J12" s="361" t="str">
        <f t="shared" si="3"/>
        <v/>
      </c>
      <c r="K12" s="200">
        <v>9</v>
      </c>
      <c r="L12" s="133">
        <f t="shared" si="4"/>
        <v>0</v>
      </c>
      <c r="M12" s="135" t="s">
        <v>5</v>
      </c>
      <c r="O12" s="203" t="s">
        <v>36</v>
      </c>
      <c r="P12" s="203" t="s">
        <v>37</v>
      </c>
      <c r="Q12" s="203" t="s">
        <v>38</v>
      </c>
      <c r="R12" s="203" t="s">
        <v>39</v>
      </c>
      <c r="S12" s="203" t="s">
        <v>40</v>
      </c>
      <c r="T12" s="203" t="s">
        <v>41</v>
      </c>
      <c r="U12" s="203" t="s">
        <v>42</v>
      </c>
      <c r="V12" s="203" t="s">
        <v>43</v>
      </c>
      <c r="W12" s="203" t="s">
        <v>44</v>
      </c>
      <c r="X12" s="203" t="s">
        <v>45</v>
      </c>
      <c r="Y12" s="203" t="s">
        <v>46</v>
      </c>
      <c r="Z12" s="203" t="s">
        <v>47</v>
      </c>
      <c r="AA12" s="221">
        <f>IF(O14+AA13&lt;&gt;H48,1,0)</f>
        <v>0</v>
      </c>
    </row>
    <row r="13" spans="1:28" ht="13.35" customHeight="1">
      <c r="A13" s="50" t="s">
        <v>5</v>
      </c>
      <c r="B13" s="141"/>
      <c r="C13" s="80"/>
      <c r="D13" s="93"/>
      <c r="E13" s="226"/>
      <c r="F13" s="89"/>
      <c r="G13" s="81"/>
      <c r="H13" s="82"/>
      <c r="I13" s="83" t="str">
        <f t="shared" si="2"/>
        <v/>
      </c>
      <c r="J13" s="361" t="str">
        <f t="shared" si="3"/>
        <v/>
      </c>
      <c r="K13" s="200">
        <v>10</v>
      </c>
      <c r="L13" s="133">
        <f t="shared" si="4"/>
        <v>0</v>
      </c>
      <c r="M13" s="135" t="s">
        <v>5</v>
      </c>
      <c r="O13" s="187">
        <f>SUMIF($L$3:$L$47,1,$I$3:$I$47)</f>
        <v>0</v>
      </c>
      <c r="P13" s="187">
        <f>SUMIF($L$3:$L$47,2,$I$3:$I$47)</f>
        <v>0</v>
      </c>
      <c r="Q13" s="187">
        <f>SUMIF($L$3:$L$47,3,$I$3:$I$47)</f>
        <v>0</v>
      </c>
      <c r="R13" s="187">
        <f>SUMIF($L$3:$L$47,4,$I$3:$I$47)</f>
        <v>0</v>
      </c>
      <c r="S13" s="187">
        <f>SUMIF($L$3:$L$47,5,$I$3:$I$47)</f>
        <v>0</v>
      </c>
      <c r="T13" s="187">
        <f>SUMIF($L$3:$L$47,6,$I$3:$I$47)</f>
        <v>0</v>
      </c>
      <c r="U13" s="187">
        <f>SUMIF($L$3:$L$47,7,$I$3:$I$47)</f>
        <v>0</v>
      </c>
      <c r="V13" s="187">
        <f>SUMIF($L$3:$L$47,8,$I$3:$I$47)</f>
        <v>0</v>
      </c>
      <c r="W13" s="187">
        <f>SUMIF($L$3:$L$47,9,$I$3:$I$47)</f>
        <v>0</v>
      </c>
      <c r="X13" s="187">
        <f>SUMIF($L$3:$L$47,10,$I$3:$I$47)</f>
        <v>0</v>
      </c>
      <c r="Y13" s="187">
        <f>SUMIF($L$3:$L$47,11,$I$3:$I$47)</f>
        <v>0</v>
      </c>
      <c r="Z13" s="187">
        <f>SUMIF($L$3:$L$47,12,$I$3:$I$47)</f>
        <v>0</v>
      </c>
      <c r="AA13" s="1220">
        <f>SUMIF($L$3:$L$47,0,$I$3:$I$47)</f>
        <v>0</v>
      </c>
      <c r="AB13" s="1221"/>
    </row>
    <row r="14" spans="1:28" ht="13.35" customHeight="1">
      <c r="A14" s="50" t="s">
        <v>5</v>
      </c>
      <c r="B14" s="141"/>
      <c r="C14" s="80"/>
      <c r="D14" s="93"/>
      <c r="E14" s="226"/>
      <c r="F14" s="89"/>
      <c r="G14" s="81"/>
      <c r="H14" s="82"/>
      <c r="I14" s="83" t="str">
        <f t="shared" si="2"/>
        <v/>
      </c>
      <c r="J14" s="361" t="str">
        <f t="shared" si="3"/>
        <v/>
      </c>
      <c r="K14" s="200">
        <v>11</v>
      </c>
      <c r="L14" s="133">
        <f t="shared" si="4"/>
        <v>0</v>
      </c>
      <c r="M14" s="135" t="s">
        <v>5</v>
      </c>
      <c r="O14" s="1299">
        <f>SUM(O13:Z13)</f>
        <v>0</v>
      </c>
      <c r="P14" s="1300"/>
      <c r="Q14" s="1300"/>
      <c r="R14" s="1300"/>
      <c r="S14" s="1300"/>
      <c r="T14" s="1300"/>
      <c r="U14" s="1300"/>
      <c r="V14" s="1300"/>
      <c r="W14" s="1300"/>
      <c r="X14" s="1300"/>
      <c r="Y14" s="1300"/>
      <c r="Z14" s="1301"/>
      <c r="AA14" s="1222">
        <f>SUM(O13:Z13)+AA13</f>
        <v>0</v>
      </c>
      <c r="AB14" s="1223"/>
    </row>
    <row r="15" spans="1:28" ht="13.35" customHeight="1">
      <c r="A15" s="50" t="s">
        <v>5</v>
      </c>
      <c r="B15" s="141"/>
      <c r="C15" s="260"/>
      <c r="D15" s="93"/>
      <c r="E15" s="226"/>
      <c r="F15" s="89"/>
      <c r="G15" s="81"/>
      <c r="H15" s="82"/>
      <c r="I15" s="83" t="str">
        <f t="shared" si="2"/>
        <v/>
      </c>
      <c r="J15" s="361" t="str">
        <f t="shared" si="3"/>
        <v/>
      </c>
      <c r="K15" s="200">
        <v>12</v>
      </c>
      <c r="L15" s="133">
        <f t="shared" si="4"/>
        <v>0</v>
      </c>
      <c r="M15" s="135" t="s">
        <v>5</v>
      </c>
      <c r="O15" s="244"/>
      <c r="P15" s="244"/>
      <c r="Q15" s="244"/>
      <c r="R15" s="244"/>
      <c r="S15" s="244"/>
      <c r="T15" s="244"/>
      <c r="U15" s="244"/>
      <c r="V15" s="244"/>
      <c r="W15" s="244"/>
      <c r="X15" s="244"/>
      <c r="Y15" s="244"/>
      <c r="Z15" s="244"/>
      <c r="AA15" s="244"/>
      <c r="AB15" s="244"/>
    </row>
    <row r="16" spans="1:28" ht="13.35" customHeight="1">
      <c r="A16" s="50" t="s">
        <v>5</v>
      </c>
      <c r="B16" s="141"/>
      <c r="C16" s="80"/>
      <c r="D16" s="93"/>
      <c r="E16" s="226"/>
      <c r="F16" s="89"/>
      <c r="G16" s="81"/>
      <c r="H16" s="82"/>
      <c r="I16" s="83" t="str">
        <f t="shared" si="2"/>
        <v/>
      </c>
      <c r="J16" s="361" t="str">
        <f t="shared" si="3"/>
        <v/>
      </c>
      <c r="K16" s="200">
        <v>13</v>
      </c>
      <c r="L16" s="133">
        <f t="shared" si="4"/>
        <v>0</v>
      </c>
      <c r="M16" s="135" t="s">
        <v>5</v>
      </c>
      <c r="O16" s="244"/>
      <c r="P16" s="244"/>
      <c r="Q16" s="244"/>
      <c r="R16" s="244"/>
      <c r="S16" s="244"/>
      <c r="T16" s="244"/>
      <c r="U16" s="244"/>
      <c r="V16" s="244"/>
      <c r="W16" s="244"/>
      <c r="X16" s="244"/>
      <c r="Y16" s="244"/>
      <c r="Z16" s="244"/>
      <c r="AA16" s="244"/>
      <c r="AB16" s="244"/>
    </row>
    <row r="17" spans="1:28" ht="13.35" customHeight="1">
      <c r="A17" s="50" t="s">
        <v>5</v>
      </c>
      <c r="B17" s="141"/>
      <c r="C17" s="80"/>
      <c r="D17" s="93"/>
      <c r="E17" s="226"/>
      <c r="F17" s="89"/>
      <c r="G17" s="81"/>
      <c r="H17" s="82"/>
      <c r="I17" s="83" t="str">
        <f t="shared" si="2"/>
        <v/>
      </c>
      <c r="J17" s="361" t="str">
        <f t="shared" si="3"/>
        <v/>
      </c>
      <c r="K17" s="200">
        <v>14</v>
      </c>
      <c r="L17" s="133">
        <f t="shared" si="4"/>
        <v>0</v>
      </c>
      <c r="M17" s="135" t="s">
        <v>5</v>
      </c>
      <c r="O17" s="244"/>
      <c r="P17" s="244"/>
      <c r="Q17" s="244"/>
      <c r="R17" s="244"/>
      <c r="S17" s="244"/>
      <c r="T17" s="244"/>
      <c r="U17" s="244"/>
      <c r="V17" s="244"/>
      <c r="W17" s="244"/>
      <c r="X17" s="244"/>
      <c r="Y17" s="244"/>
      <c r="Z17" s="244"/>
      <c r="AA17" s="244"/>
      <c r="AB17" s="244"/>
    </row>
    <row r="18" spans="1:28" ht="13.35" customHeight="1">
      <c r="A18" s="50" t="s">
        <v>5</v>
      </c>
      <c r="B18" s="141"/>
      <c r="C18" s="80"/>
      <c r="D18" s="93"/>
      <c r="E18" s="226"/>
      <c r="F18" s="89"/>
      <c r="G18" s="81"/>
      <c r="H18" s="82"/>
      <c r="I18" s="83" t="str">
        <f t="shared" si="2"/>
        <v/>
      </c>
      <c r="J18" s="361" t="str">
        <f t="shared" si="3"/>
        <v/>
      </c>
      <c r="K18" s="200">
        <v>15</v>
      </c>
      <c r="L18" s="133">
        <f t="shared" si="4"/>
        <v>0</v>
      </c>
      <c r="M18" s="135" t="s">
        <v>5</v>
      </c>
      <c r="O18" s="244"/>
      <c r="P18" s="244"/>
      <c r="Q18" s="244"/>
      <c r="R18" s="244"/>
      <c r="S18" s="244"/>
      <c r="T18" s="244"/>
      <c r="U18" s="244"/>
      <c r="V18" s="244"/>
      <c r="W18" s="244"/>
      <c r="X18" s="244"/>
      <c r="Y18" s="244"/>
      <c r="Z18" s="244"/>
      <c r="AA18" s="244"/>
      <c r="AB18" s="244"/>
    </row>
    <row r="19" spans="1:28" ht="13.35" customHeight="1">
      <c r="A19" s="50" t="s">
        <v>5</v>
      </c>
      <c r="B19" s="141"/>
      <c r="C19" s="80"/>
      <c r="D19" s="93"/>
      <c r="E19" s="226"/>
      <c r="F19" s="89"/>
      <c r="G19" s="81"/>
      <c r="H19" s="82"/>
      <c r="I19" s="83" t="str">
        <f t="shared" si="2"/>
        <v/>
      </c>
      <c r="J19" s="361" t="str">
        <f t="shared" si="3"/>
        <v/>
      </c>
      <c r="K19" s="200">
        <v>16</v>
      </c>
      <c r="L19" s="133">
        <f t="shared" si="4"/>
        <v>0</v>
      </c>
      <c r="M19" s="135" t="s">
        <v>5</v>
      </c>
      <c r="O19" s="244"/>
      <c r="P19" s="244"/>
      <c r="Q19" s="244"/>
      <c r="R19" s="244"/>
      <c r="S19" s="244"/>
      <c r="T19" s="244"/>
      <c r="U19" s="244"/>
      <c r="V19" s="244"/>
      <c r="W19" s="244"/>
      <c r="X19" s="244"/>
      <c r="Y19" s="244"/>
      <c r="Z19" s="244"/>
      <c r="AA19" s="244"/>
      <c r="AB19" s="244"/>
    </row>
    <row r="20" spans="1:28" ht="13.35" customHeight="1">
      <c r="A20" s="50" t="s">
        <v>5</v>
      </c>
      <c r="B20" s="141"/>
      <c r="C20" s="80"/>
      <c r="D20" s="93"/>
      <c r="E20" s="226"/>
      <c r="F20" s="89"/>
      <c r="G20" s="81"/>
      <c r="H20" s="82"/>
      <c r="I20" s="83" t="str">
        <f t="shared" si="2"/>
        <v/>
      </c>
      <c r="J20" s="361" t="str">
        <f t="shared" si="3"/>
        <v/>
      </c>
      <c r="K20" s="200">
        <v>17</v>
      </c>
      <c r="L20" s="133">
        <f t="shared" si="4"/>
        <v>0</v>
      </c>
      <c r="M20" s="135" t="s">
        <v>5</v>
      </c>
      <c r="O20" s="244"/>
      <c r="P20" s="244"/>
      <c r="Q20" s="244"/>
      <c r="R20" s="244"/>
      <c r="S20" s="244"/>
      <c r="T20" s="244"/>
      <c r="U20" s="244"/>
      <c r="V20" s="244"/>
      <c r="W20" s="244"/>
      <c r="X20" s="244"/>
      <c r="Y20" s="244"/>
      <c r="Z20" s="244"/>
      <c r="AA20" s="244"/>
      <c r="AB20" s="244"/>
    </row>
    <row r="21" spans="1:28" ht="13.35" customHeight="1">
      <c r="A21" s="50" t="s">
        <v>5</v>
      </c>
      <c r="B21" s="141"/>
      <c r="C21" s="80"/>
      <c r="D21" s="93"/>
      <c r="E21" s="226"/>
      <c r="F21" s="89"/>
      <c r="G21" s="81"/>
      <c r="H21" s="82"/>
      <c r="I21" s="83" t="str">
        <f t="shared" si="2"/>
        <v/>
      </c>
      <c r="J21" s="361" t="str">
        <f t="shared" si="3"/>
        <v/>
      </c>
      <c r="K21" s="200">
        <v>18</v>
      </c>
      <c r="L21" s="133">
        <f t="shared" si="4"/>
        <v>0</v>
      </c>
      <c r="M21" s="135" t="s">
        <v>5</v>
      </c>
      <c r="O21" s="244"/>
      <c r="P21" s="244"/>
      <c r="Q21" s="244"/>
      <c r="R21" s="244"/>
      <c r="S21" s="244"/>
      <c r="T21" s="244"/>
      <c r="U21" s="244"/>
      <c r="V21" s="244"/>
      <c r="W21" s="244"/>
      <c r="X21" s="244"/>
      <c r="Y21" s="244"/>
      <c r="Z21" s="244"/>
      <c r="AA21" s="244"/>
      <c r="AB21" s="244"/>
    </row>
    <row r="22" spans="1:28" ht="13.35" customHeight="1">
      <c r="A22" s="50" t="s">
        <v>5</v>
      </c>
      <c r="B22" s="141"/>
      <c r="C22" s="80"/>
      <c r="D22" s="93"/>
      <c r="E22" s="226"/>
      <c r="F22" s="89"/>
      <c r="G22" s="81"/>
      <c r="H22" s="82"/>
      <c r="I22" s="83" t="str">
        <f t="shared" si="2"/>
        <v/>
      </c>
      <c r="J22" s="361" t="str">
        <f t="shared" si="3"/>
        <v/>
      </c>
      <c r="K22" s="200">
        <v>19</v>
      </c>
      <c r="L22" s="133">
        <f t="shared" si="4"/>
        <v>0</v>
      </c>
      <c r="M22" s="135" t="s">
        <v>5</v>
      </c>
      <c r="O22" s="244"/>
      <c r="P22" s="244"/>
      <c r="Q22" s="244"/>
      <c r="R22" s="244"/>
      <c r="S22" s="244"/>
      <c r="T22" s="244"/>
      <c r="U22" s="244"/>
      <c r="V22" s="244"/>
      <c r="W22" s="244"/>
      <c r="X22" s="244"/>
      <c r="Y22" s="244"/>
      <c r="Z22" s="244"/>
      <c r="AA22" s="244"/>
      <c r="AB22" s="244"/>
    </row>
    <row r="23" spans="1:28" ht="13.35" customHeight="1">
      <c r="A23" s="50" t="s">
        <v>5</v>
      </c>
      <c r="B23" s="141"/>
      <c r="C23" s="80"/>
      <c r="D23" s="94"/>
      <c r="E23" s="226"/>
      <c r="F23" s="89"/>
      <c r="G23" s="81"/>
      <c r="H23" s="82"/>
      <c r="I23" s="83" t="str">
        <f t="shared" si="2"/>
        <v/>
      </c>
      <c r="J23" s="361" t="str">
        <f t="shared" si="3"/>
        <v/>
      </c>
      <c r="K23" s="200">
        <v>20</v>
      </c>
      <c r="L23" s="133">
        <f t="shared" si="4"/>
        <v>0</v>
      </c>
      <c r="M23" s="135" t="s">
        <v>5</v>
      </c>
      <c r="O23" s="244"/>
      <c r="P23" s="244"/>
      <c r="Q23" s="244"/>
      <c r="R23" s="244"/>
      <c r="S23" s="244"/>
      <c r="T23" s="244"/>
      <c r="U23" s="244"/>
      <c r="V23" s="244"/>
      <c r="W23" s="244"/>
      <c r="X23" s="244"/>
      <c r="Y23" s="244"/>
      <c r="Z23" s="244"/>
      <c r="AA23" s="244"/>
      <c r="AB23" s="244"/>
    </row>
    <row r="24" spans="1:28" ht="13.35" customHeight="1">
      <c r="A24" s="50" t="s">
        <v>5</v>
      </c>
      <c r="B24" s="141"/>
      <c r="C24" s="80"/>
      <c r="D24" s="93"/>
      <c r="E24" s="226"/>
      <c r="F24" s="89"/>
      <c r="G24" s="81"/>
      <c r="H24" s="82"/>
      <c r="I24" s="83" t="str">
        <f t="shared" si="2"/>
        <v/>
      </c>
      <c r="J24" s="361" t="str">
        <f t="shared" si="3"/>
        <v/>
      </c>
      <c r="K24" s="200">
        <v>21</v>
      </c>
      <c r="L24" s="133">
        <f t="shared" si="4"/>
        <v>0</v>
      </c>
      <c r="M24" s="135" t="s">
        <v>5</v>
      </c>
      <c r="O24" s="244"/>
      <c r="P24" s="244"/>
      <c r="Q24" s="244"/>
      <c r="R24" s="244"/>
      <c r="S24" s="244"/>
      <c r="T24" s="244"/>
      <c r="U24" s="244"/>
      <c r="V24" s="244"/>
      <c r="W24" s="244"/>
      <c r="X24" s="244"/>
      <c r="Y24" s="244"/>
      <c r="Z24" s="244"/>
      <c r="AA24" s="244"/>
      <c r="AB24" s="244"/>
    </row>
    <row r="25" spans="1:28" ht="13.35" customHeight="1">
      <c r="A25" s="50" t="s">
        <v>5</v>
      </c>
      <c r="B25" s="141"/>
      <c r="C25" s="80"/>
      <c r="D25" s="93"/>
      <c r="E25" s="226"/>
      <c r="F25" s="89"/>
      <c r="G25" s="81"/>
      <c r="H25" s="82"/>
      <c r="I25" s="83" t="str">
        <f t="shared" si="2"/>
        <v/>
      </c>
      <c r="J25" s="361" t="str">
        <f t="shared" si="3"/>
        <v/>
      </c>
      <c r="K25" s="200">
        <v>22</v>
      </c>
      <c r="L25" s="133">
        <f t="shared" si="4"/>
        <v>0</v>
      </c>
      <c r="M25" s="135" t="s">
        <v>5</v>
      </c>
      <c r="O25" s="244"/>
      <c r="P25" s="244"/>
      <c r="Q25" s="244"/>
      <c r="R25" s="244"/>
      <c r="S25" s="244"/>
      <c r="T25" s="244"/>
      <c r="U25" s="244"/>
      <c r="V25" s="244"/>
      <c r="W25" s="244"/>
      <c r="X25" s="244"/>
      <c r="Y25" s="244"/>
      <c r="Z25" s="244"/>
      <c r="AA25" s="244"/>
      <c r="AB25" s="244"/>
    </row>
    <row r="26" spans="1:28" ht="13.35" customHeight="1">
      <c r="A26" s="50" t="s">
        <v>5</v>
      </c>
      <c r="B26" s="141"/>
      <c r="C26" s="80"/>
      <c r="D26" s="93"/>
      <c r="E26" s="226"/>
      <c r="F26" s="89"/>
      <c r="G26" s="81"/>
      <c r="H26" s="82"/>
      <c r="I26" s="83" t="str">
        <f t="shared" si="2"/>
        <v/>
      </c>
      <c r="J26" s="361" t="str">
        <f t="shared" si="3"/>
        <v/>
      </c>
      <c r="K26" s="200">
        <v>23</v>
      </c>
      <c r="L26" s="133">
        <f t="shared" si="4"/>
        <v>0</v>
      </c>
      <c r="M26" s="135" t="s">
        <v>5</v>
      </c>
      <c r="O26" s="244"/>
      <c r="P26" s="244"/>
      <c r="Q26" s="244"/>
      <c r="R26" s="244"/>
      <c r="S26" s="244"/>
      <c r="T26" s="244"/>
      <c r="U26" s="244"/>
      <c r="V26" s="244"/>
      <c r="W26" s="244"/>
      <c r="X26" s="244"/>
      <c r="Y26" s="244"/>
      <c r="Z26" s="244"/>
      <c r="AA26" s="244"/>
      <c r="AB26" s="244"/>
    </row>
    <row r="27" spans="1:28" ht="13.35" customHeight="1">
      <c r="A27" s="50" t="s">
        <v>5</v>
      </c>
      <c r="B27" s="141"/>
      <c r="C27" s="80"/>
      <c r="D27" s="93"/>
      <c r="E27" s="226"/>
      <c r="F27" s="89"/>
      <c r="G27" s="81"/>
      <c r="H27" s="82"/>
      <c r="I27" s="83" t="str">
        <f t="shared" si="2"/>
        <v/>
      </c>
      <c r="J27" s="361" t="str">
        <f t="shared" si="3"/>
        <v/>
      </c>
      <c r="K27" s="200">
        <v>24</v>
      </c>
      <c r="L27" s="133">
        <f t="shared" si="4"/>
        <v>0</v>
      </c>
      <c r="M27" s="135" t="s">
        <v>5</v>
      </c>
      <c r="O27" s="244"/>
      <c r="P27" s="244"/>
      <c r="Q27" s="244"/>
      <c r="R27" s="244"/>
      <c r="S27" s="244"/>
      <c r="T27" s="244"/>
      <c r="U27" s="244"/>
      <c r="V27" s="244"/>
      <c r="W27" s="244"/>
      <c r="X27" s="244"/>
      <c r="Y27" s="244"/>
      <c r="Z27" s="244"/>
      <c r="AA27" s="244"/>
      <c r="AB27" s="244"/>
    </row>
    <row r="28" spans="1:28" ht="13.35" customHeight="1">
      <c r="A28" s="50" t="s">
        <v>5</v>
      </c>
      <c r="B28" s="141"/>
      <c r="C28" s="80"/>
      <c r="D28" s="93"/>
      <c r="E28" s="226"/>
      <c r="F28" s="89"/>
      <c r="G28" s="81"/>
      <c r="H28" s="82"/>
      <c r="I28" s="83" t="str">
        <f t="shared" si="2"/>
        <v/>
      </c>
      <c r="J28" s="361" t="str">
        <f t="shared" si="3"/>
        <v/>
      </c>
      <c r="K28" s="200">
        <v>25</v>
      </c>
      <c r="L28" s="133">
        <f t="shared" si="4"/>
        <v>0</v>
      </c>
      <c r="M28" s="135" t="s">
        <v>5</v>
      </c>
      <c r="O28" s="244"/>
      <c r="P28" s="244"/>
      <c r="Q28" s="244"/>
      <c r="R28" s="244"/>
      <c r="S28" s="244"/>
      <c r="T28" s="244"/>
      <c r="U28" s="244"/>
      <c r="V28" s="244"/>
      <c r="W28" s="244"/>
      <c r="X28" s="244"/>
      <c r="Y28" s="244"/>
      <c r="Z28" s="244"/>
      <c r="AA28" s="244"/>
      <c r="AB28" s="244"/>
    </row>
    <row r="29" spans="1:28" ht="13.35" customHeight="1">
      <c r="A29" s="50" t="s">
        <v>5</v>
      </c>
      <c r="B29" s="141"/>
      <c r="C29" s="80"/>
      <c r="D29" s="93"/>
      <c r="E29" s="226"/>
      <c r="F29" s="89"/>
      <c r="G29" s="81"/>
      <c r="H29" s="82"/>
      <c r="I29" s="83" t="str">
        <f t="shared" si="2"/>
        <v/>
      </c>
      <c r="J29" s="361" t="str">
        <f t="shared" si="3"/>
        <v/>
      </c>
      <c r="K29" s="200">
        <v>26</v>
      </c>
      <c r="L29" s="133">
        <f t="shared" si="4"/>
        <v>0</v>
      </c>
      <c r="M29" s="135" t="s">
        <v>5</v>
      </c>
      <c r="O29" s="244"/>
      <c r="P29" s="244"/>
      <c r="Q29" s="244"/>
      <c r="R29" s="244"/>
      <c r="S29" s="244"/>
      <c r="T29" s="244"/>
      <c r="U29" s="244"/>
      <c r="V29" s="244"/>
      <c r="W29" s="244"/>
      <c r="X29" s="244"/>
      <c r="Y29" s="244"/>
      <c r="Z29" s="244"/>
      <c r="AA29" s="244"/>
      <c r="AB29" s="244"/>
    </row>
    <row r="30" spans="1:28" ht="13.35" customHeight="1">
      <c r="A30" s="50" t="s">
        <v>5</v>
      </c>
      <c r="B30" s="141"/>
      <c r="C30" s="80"/>
      <c r="D30" s="93"/>
      <c r="E30" s="226"/>
      <c r="F30" s="89"/>
      <c r="G30" s="81"/>
      <c r="H30" s="82"/>
      <c r="I30" s="83" t="str">
        <f t="shared" si="2"/>
        <v/>
      </c>
      <c r="J30" s="361" t="str">
        <f t="shared" si="3"/>
        <v/>
      </c>
      <c r="K30" s="200">
        <v>27</v>
      </c>
      <c r="L30" s="133">
        <f t="shared" si="4"/>
        <v>0</v>
      </c>
      <c r="M30" s="135" t="s">
        <v>5</v>
      </c>
      <c r="O30" s="244"/>
      <c r="P30" s="244"/>
      <c r="Q30" s="244"/>
      <c r="R30" s="244"/>
      <c r="S30" s="244"/>
      <c r="T30" s="244"/>
      <c r="U30" s="244"/>
      <c r="V30" s="244"/>
      <c r="W30" s="244"/>
      <c r="X30" s="244"/>
      <c r="Y30" s="244"/>
      <c r="Z30" s="244"/>
      <c r="AA30" s="244"/>
      <c r="AB30" s="244"/>
    </row>
    <row r="31" spans="1:28" ht="13.35" customHeight="1">
      <c r="A31" s="50" t="s">
        <v>5</v>
      </c>
      <c r="B31" s="141"/>
      <c r="C31" s="80"/>
      <c r="D31" s="93"/>
      <c r="E31" s="226"/>
      <c r="F31" s="89"/>
      <c r="G31" s="81"/>
      <c r="H31" s="82"/>
      <c r="I31" s="83" t="str">
        <f t="shared" si="2"/>
        <v/>
      </c>
      <c r="J31" s="361" t="str">
        <f t="shared" si="3"/>
        <v/>
      </c>
      <c r="K31" s="200">
        <v>28</v>
      </c>
      <c r="L31" s="133">
        <f t="shared" si="4"/>
        <v>0</v>
      </c>
      <c r="M31" s="135" t="s">
        <v>5</v>
      </c>
      <c r="O31" s="244"/>
      <c r="P31" s="244"/>
      <c r="Q31" s="244"/>
      <c r="R31" s="244"/>
      <c r="S31" s="244"/>
      <c r="T31" s="244"/>
      <c r="U31" s="244"/>
      <c r="V31" s="244"/>
      <c r="W31" s="244"/>
      <c r="X31" s="244"/>
      <c r="Y31" s="244"/>
      <c r="Z31" s="244"/>
      <c r="AA31" s="244"/>
      <c r="AB31" s="244"/>
    </row>
    <row r="32" spans="1:28" ht="13.35" customHeight="1">
      <c r="A32" s="50" t="s">
        <v>5</v>
      </c>
      <c r="B32" s="141"/>
      <c r="C32" s="80"/>
      <c r="D32" s="93"/>
      <c r="E32" s="226"/>
      <c r="F32" s="89"/>
      <c r="G32" s="81"/>
      <c r="H32" s="82"/>
      <c r="I32" s="83" t="str">
        <f t="shared" si="2"/>
        <v/>
      </c>
      <c r="J32" s="361" t="str">
        <f t="shared" si="3"/>
        <v/>
      </c>
      <c r="K32" s="200">
        <v>29</v>
      </c>
      <c r="L32" s="133">
        <f t="shared" si="4"/>
        <v>0</v>
      </c>
      <c r="M32" s="135" t="s">
        <v>5</v>
      </c>
      <c r="O32" s="244"/>
      <c r="P32" s="244"/>
      <c r="Q32" s="244"/>
      <c r="R32" s="244"/>
      <c r="S32" s="244"/>
      <c r="T32" s="244"/>
      <c r="U32" s="244"/>
      <c r="V32" s="244"/>
      <c r="W32" s="244"/>
      <c r="X32" s="244"/>
      <c r="Y32" s="244"/>
      <c r="Z32" s="244"/>
      <c r="AA32" s="244"/>
      <c r="AB32" s="244"/>
    </row>
    <row r="33" spans="1:28" ht="13.35" customHeight="1">
      <c r="A33" s="50" t="s">
        <v>5</v>
      </c>
      <c r="B33" s="141"/>
      <c r="C33" s="80"/>
      <c r="D33" s="93"/>
      <c r="E33" s="226"/>
      <c r="F33" s="89"/>
      <c r="G33" s="81"/>
      <c r="H33" s="82"/>
      <c r="I33" s="83" t="str">
        <f t="shared" si="2"/>
        <v/>
      </c>
      <c r="J33" s="361" t="str">
        <f t="shared" si="3"/>
        <v/>
      </c>
      <c r="K33" s="200">
        <v>30</v>
      </c>
      <c r="L33" s="133">
        <f t="shared" si="4"/>
        <v>0</v>
      </c>
      <c r="M33" s="135" t="s">
        <v>5</v>
      </c>
      <c r="O33" s="244"/>
      <c r="P33" s="244"/>
      <c r="Q33" s="244"/>
      <c r="R33" s="244"/>
      <c r="S33" s="244"/>
      <c r="T33" s="244"/>
      <c r="U33" s="244"/>
      <c r="V33" s="244"/>
      <c r="W33" s="244"/>
      <c r="X33" s="244"/>
      <c r="Y33" s="244"/>
      <c r="Z33" s="244"/>
      <c r="AA33" s="244"/>
      <c r="AB33" s="244"/>
    </row>
    <row r="34" spans="1:28" ht="13.35" customHeight="1">
      <c r="A34" s="50" t="s">
        <v>5</v>
      </c>
      <c r="B34" s="141"/>
      <c r="C34" s="80"/>
      <c r="D34" s="93"/>
      <c r="E34" s="226"/>
      <c r="F34" s="89"/>
      <c r="G34" s="81"/>
      <c r="H34" s="82"/>
      <c r="I34" s="83" t="str">
        <f t="shared" si="2"/>
        <v/>
      </c>
      <c r="J34" s="361" t="str">
        <f t="shared" si="3"/>
        <v/>
      </c>
      <c r="K34" s="200">
        <v>31</v>
      </c>
      <c r="L34" s="133">
        <f t="shared" si="4"/>
        <v>0</v>
      </c>
      <c r="M34" s="135" t="s">
        <v>5</v>
      </c>
      <c r="O34" s="244"/>
      <c r="P34" s="244"/>
      <c r="Q34" s="244"/>
      <c r="R34" s="244"/>
      <c r="S34" s="244"/>
      <c r="T34" s="244"/>
      <c r="U34" s="244"/>
      <c r="V34" s="244"/>
      <c r="W34" s="244"/>
      <c r="X34" s="244"/>
      <c r="Y34" s="244"/>
      <c r="Z34" s="244"/>
      <c r="AA34" s="244"/>
      <c r="AB34" s="244"/>
    </row>
    <row r="35" spans="1:28" ht="13.35" customHeight="1">
      <c r="A35" s="50" t="s">
        <v>5</v>
      </c>
      <c r="B35" s="141"/>
      <c r="C35" s="80"/>
      <c r="D35" s="93"/>
      <c r="E35" s="226"/>
      <c r="F35" s="89"/>
      <c r="G35" s="81"/>
      <c r="H35" s="82"/>
      <c r="I35" s="83" t="str">
        <f t="shared" si="2"/>
        <v/>
      </c>
      <c r="J35" s="361" t="str">
        <f t="shared" si="3"/>
        <v/>
      </c>
      <c r="K35" s="200">
        <v>32</v>
      </c>
      <c r="L35" s="133">
        <f t="shared" si="4"/>
        <v>0</v>
      </c>
      <c r="M35" s="135" t="s">
        <v>5</v>
      </c>
      <c r="O35" s="244"/>
      <c r="P35" s="244"/>
      <c r="Q35" s="244"/>
      <c r="R35" s="244"/>
      <c r="S35" s="244"/>
      <c r="T35" s="244"/>
      <c r="U35" s="244"/>
      <c r="V35" s="244"/>
      <c r="W35" s="244"/>
      <c r="X35" s="244"/>
      <c r="Y35" s="244"/>
      <c r="Z35" s="244"/>
      <c r="AA35" s="244"/>
      <c r="AB35" s="244"/>
    </row>
    <row r="36" spans="1:28" ht="13.35" customHeight="1">
      <c r="A36" s="50" t="s">
        <v>5</v>
      </c>
      <c r="B36" s="141"/>
      <c r="C36" s="80"/>
      <c r="D36" s="93"/>
      <c r="E36" s="226"/>
      <c r="F36" s="89"/>
      <c r="G36" s="81"/>
      <c r="H36" s="82"/>
      <c r="I36" s="83" t="str">
        <f t="shared" si="2"/>
        <v/>
      </c>
      <c r="J36" s="361" t="str">
        <f t="shared" si="3"/>
        <v/>
      </c>
      <c r="K36" s="200">
        <v>33</v>
      </c>
      <c r="L36" s="133">
        <f t="shared" si="4"/>
        <v>0</v>
      </c>
      <c r="M36" s="135" t="s">
        <v>5</v>
      </c>
      <c r="O36" s="244"/>
      <c r="P36" s="244"/>
      <c r="Q36" s="244"/>
      <c r="R36" s="244"/>
      <c r="S36" s="244"/>
      <c r="T36" s="244"/>
      <c r="U36" s="244"/>
      <c r="V36" s="244"/>
      <c r="W36" s="244"/>
      <c r="X36" s="244"/>
      <c r="Y36" s="244"/>
      <c r="Z36" s="244"/>
      <c r="AA36" s="244"/>
      <c r="AB36" s="244"/>
    </row>
    <row r="37" spans="1:28" ht="13.35" customHeight="1">
      <c r="A37" s="50" t="s">
        <v>5</v>
      </c>
      <c r="B37" s="141"/>
      <c r="C37" s="80"/>
      <c r="D37" s="93"/>
      <c r="E37" s="226"/>
      <c r="F37" s="89"/>
      <c r="G37" s="81"/>
      <c r="H37" s="82"/>
      <c r="I37" s="83" t="str">
        <f t="shared" si="2"/>
        <v/>
      </c>
      <c r="J37" s="361" t="str">
        <f t="shared" si="3"/>
        <v/>
      </c>
      <c r="K37" s="200">
        <v>34</v>
      </c>
      <c r="L37" s="133">
        <f t="shared" si="4"/>
        <v>0</v>
      </c>
      <c r="M37" s="135" t="s">
        <v>5</v>
      </c>
      <c r="O37" s="244"/>
      <c r="P37" s="244"/>
      <c r="Q37" s="244"/>
      <c r="R37" s="244"/>
      <c r="S37" s="244"/>
      <c r="T37" s="244"/>
      <c r="U37" s="244"/>
      <c r="V37" s="244"/>
      <c r="W37" s="244"/>
      <c r="X37" s="244"/>
      <c r="Y37" s="244"/>
      <c r="Z37" s="244"/>
      <c r="AA37" s="244"/>
      <c r="AB37" s="244"/>
    </row>
    <row r="38" spans="1:28" ht="13.35" customHeight="1">
      <c r="A38" s="50" t="s">
        <v>5</v>
      </c>
      <c r="B38" s="141"/>
      <c r="C38" s="80"/>
      <c r="D38" s="93"/>
      <c r="E38" s="226"/>
      <c r="F38" s="89"/>
      <c r="G38" s="81"/>
      <c r="H38" s="82"/>
      <c r="I38" s="83" t="str">
        <f t="shared" si="2"/>
        <v/>
      </c>
      <c r="J38" s="361" t="str">
        <f t="shared" si="3"/>
        <v/>
      </c>
      <c r="K38" s="200">
        <v>35</v>
      </c>
      <c r="L38" s="133">
        <f t="shared" si="4"/>
        <v>0</v>
      </c>
      <c r="M38" s="135" t="s">
        <v>5</v>
      </c>
      <c r="O38" s="244"/>
      <c r="P38" s="244"/>
      <c r="Q38" s="244"/>
      <c r="R38" s="244"/>
      <c r="S38" s="244"/>
      <c r="T38" s="244"/>
      <c r="U38" s="244"/>
      <c r="V38" s="244"/>
      <c r="W38" s="244"/>
      <c r="X38" s="244"/>
      <c r="Y38" s="244"/>
      <c r="Z38" s="244"/>
      <c r="AA38" s="244"/>
      <c r="AB38" s="244"/>
    </row>
    <row r="39" spans="1:28" ht="13.35" customHeight="1">
      <c r="A39" s="50" t="s">
        <v>5</v>
      </c>
      <c r="B39" s="141"/>
      <c r="C39" s="80"/>
      <c r="D39" s="93"/>
      <c r="E39" s="226"/>
      <c r="F39" s="89"/>
      <c r="G39" s="81"/>
      <c r="H39" s="82"/>
      <c r="I39" s="83" t="str">
        <f t="shared" si="2"/>
        <v/>
      </c>
      <c r="J39" s="361" t="str">
        <f t="shared" si="3"/>
        <v/>
      </c>
      <c r="K39" s="200">
        <v>36</v>
      </c>
      <c r="L39" s="133">
        <f t="shared" si="4"/>
        <v>0</v>
      </c>
      <c r="M39" s="135" t="s">
        <v>5</v>
      </c>
      <c r="O39" s="244"/>
      <c r="P39" s="244"/>
      <c r="Q39" s="244"/>
      <c r="R39" s="244"/>
      <c r="S39" s="244"/>
      <c r="T39" s="244"/>
      <c r="U39" s="244"/>
      <c r="V39" s="244"/>
      <c r="W39" s="244"/>
      <c r="X39" s="244"/>
      <c r="Y39" s="244"/>
      <c r="Z39" s="244"/>
      <c r="AA39" s="244"/>
      <c r="AB39" s="244"/>
    </row>
    <row r="40" spans="1:28" ht="13.35" customHeight="1">
      <c r="A40" s="50" t="s">
        <v>5</v>
      </c>
      <c r="B40" s="141"/>
      <c r="C40" s="80"/>
      <c r="D40" s="93"/>
      <c r="E40" s="226"/>
      <c r="F40" s="89"/>
      <c r="G40" s="81"/>
      <c r="H40" s="82"/>
      <c r="I40" s="83" t="str">
        <f t="shared" si="2"/>
        <v/>
      </c>
      <c r="J40" s="361" t="str">
        <f t="shared" si="3"/>
        <v/>
      </c>
      <c r="K40" s="200">
        <v>37</v>
      </c>
      <c r="L40" s="133">
        <f t="shared" si="4"/>
        <v>0</v>
      </c>
      <c r="M40" s="135" t="s">
        <v>5</v>
      </c>
      <c r="O40" s="244"/>
      <c r="P40" s="244"/>
      <c r="Q40" s="244"/>
      <c r="R40" s="244"/>
      <c r="S40" s="244"/>
      <c r="T40" s="244"/>
      <c r="U40" s="244"/>
      <c r="V40" s="244"/>
      <c r="W40" s="244"/>
      <c r="X40" s="244"/>
      <c r="Y40" s="244"/>
      <c r="Z40" s="244"/>
      <c r="AA40" s="244"/>
      <c r="AB40" s="244"/>
    </row>
    <row r="41" spans="1:28" ht="13.35" customHeight="1">
      <c r="A41" s="50" t="s">
        <v>5</v>
      </c>
      <c r="B41" s="141"/>
      <c r="C41" s="80"/>
      <c r="D41" s="93"/>
      <c r="E41" s="226"/>
      <c r="F41" s="89"/>
      <c r="G41" s="81"/>
      <c r="H41" s="82"/>
      <c r="I41" s="83" t="str">
        <f t="shared" si="2"/>
        <v/>
      </c>
      <c r="J41" s="361" t="str">
        <f t="shared" si="3"/>
        <v/>
      </c>
      <c r="K41" s="200">
        <v>38</v>
      </c>
      <c r="L41" s="133">
        <f t="shared" si="4"/>
        <v>0</v>
      </c>
      <c r="M41" s="135" t="s">
        <v>5</v>
      </c>
      <c r="O41" s="244"/>
      <c r="P41" s="244"/>
      <c r="Q41" s="244"/>
      <c r="R41" s="244"/>
      <c r="S41" s="244"/>
      <c r="T41" s="244"/>
      <c r="U41" s="244"/>
      <c r="V41" s="244"/>
      <c r="W41" s="244"/>
      <c r="X41" s="244"/>
      <c r="Y41" s="244"/>
      <c r="Z41" s="244"/>
      <c r="AA41" s="244"/>
      <c r="AB41" s="244"/>
    </row>
    <row r="42" spans="1:28" ht="13.35" customHeight="1">
      <c r="A42" s="50" t="s">
        <v>5</v>
      </c>
      <c r="B42" s="141"/>
      <c r="C42" s="80"/>
      <c r="D42" s="93"/>
      <c r="E42" s="226"/>
      <c r="F42" s="89"/>
      <c r="G42" s="81"/>
      <c r="H42" s="82"/>
      <c r="I42" s="83" t="str">
        <f t="shared" si="2"/>
        <v/>
      </c>
      <c r="J42" s="361" t="str">
        <f t="shared" si="3"/>
        <v/>
      </c>
      <c r="K42" s="200">
        <v>39</v>
      </c>
      <c r="L42" s="133">
        <f t="shared" si="4"/>
        <v>0</v>
      </c>
      <c r="M42" s="135" t="s">
        <v>5</v>
      </c>
      <c r="O42" s="244"/>
      <c r="P42" s="244"/>
      <c r="Q42" s="244"/>
      <c r="R42" s="244"/>
      <c r="S42" s="244"/>
      <c r="T42" s="244"/>
      <c r="U42" s="244"/>
      <c r="V42" s="244"/>
      <c r="W42" s="244"/>
      <c r="X42" s="244"/>
      <c r="Y42" s="244"/>
      <c r="Z42" s="244"/>
      <c r="AA42" s="244"/>
      <c r="AB42" s="244"/>
    </row>
    <row r="43" spans="1:28" ht="13.35" customHeight="1">
      <c r="A43" s="50" t="s">
        <v>5</v>
      </c>
      <c r="B43" s="141"/>
      <c r="C43" s="80"/>
      <c r="D43" s="93"/>
      <c r="E43" s="226"/>
      <c r="F43" s="89"/>
      <c r="G43" s="81"/>
      <c r="H43" s="82"/>
      <c r="I43" s="83" t="str">
        <f t="shared" si="2"/>
        <v/>
      </c>
      <c r="J43" s="361" t="str">
        <f t="shared" si="3"/>
        <v/>
      </c>
      <c r="K43" s="200">
        <v>40</v>
      </c>
      <c r="L43" s="133">
        <f t="shared" si="4"/>
        <v>0</v>
      </c>
      <c r="M43" s="135" t="s">
        <v>5</v>
      </c>
      <c r="O43" s="244"/>
      <c r="P43" s="244"/>
      <c r="Q43" s="244"/>
      <c r="R43" s="244"/>
      <c r="S43" s="244"/>
      <c r="T43" s="244"/>
      <c r="U43" s="244"/>
      <c r="V43" s="244"/>
      <c r="W43" s="244"/>
      <c r="X43" s="244"/>
      <c r="Y43" s="244"/>
      <c r="Z43" s="244"/>
      <c r="AA43" s="244"/>
      <c r="AB43" s="244"/>
    </row>
    <row r="44" spans="1:28" ht="13.35" customHeight="1">
      <c r="A44" s="50" t="s">
        <v>5</v>
      </c>
      <c r="B44" s="141"/>
      <c r="C44" s="80"/>
      <c r="D44" s="93"/>
      <c r="E44" s="226"/>
      <c r="F44" s="89"/>
      <c r="G44" s="81"/>
      <c r="H44" s="82"/>
      <c r="I44" s="83" t="str">
        <f t="shared" si="2"/>
        <v/>
      </c>
      <c r="J44" s="361" t="str">
        <f t="shared" si="3"/>
        <v/>
      </c>
      <c r="K44" s="200">
        <v>41</v>
      </c>
      <c r="L44" s="133">
        <f t="shared" si="4"/>
        <v>0</v>
      </c>
      <c r="M44" s="135" t="s">
        <v>5</v>
      </c>
      <c r="O44" s="244"/>
      <c r="P44" s="244"/>
      <c r="Q44" s="244"/>
      <c r="R44" s="244"/>
      <c r="S44" s="244"/>
      <c r="T44" s="244"/>
      <c r="U44" s="244"/>
      <c r="V44" s="244"/>
      <c r="W44" s="244"/>
      <c r="X44" s="244"/>
      <c r="Y44" s="244"/>
      <c r="Z44" s="244"/>
      <c r="AA44" s="244"/>
      <c r="AB44" s="244"/>
    </row>
    <row r="45" spans="1:28" ht="13.35" customHeight="1">
      <c r="A45" s="50" t="s">
        <v>5</v>
      </c>
      <c r="B45" s="141"/>
      <c r="C45" s="80"/>
      <c r="D45" s="93"/>
      <c r="E45" s="226"/>
      <c r="F45" s="89"/>
      <c r="G45" s="81"/>
      <c r="H45" s="82"/>
      <c r="I45" s="83" t="str">
        <f t="shared" ref="I45:I46" si="7">IF(G45&lt;&gt;"",+G45-G45/(1+H45/100),"")</f>
        <v/>
      </c>
      <c r="J45" s="361" t="str">
        <f t="shared" ref="J45:J46" si="8">IF(G45&lt;&gt;0,+G45-I45,"")</f>
        <v/>
      </c>
      <c r="K45" s="200">
        <v>44</v>
      </c>
      <c r="L45" s="133">
        <f t="shared" ref="L45:L46" si="9">IF(B45&lt;$O$2,0,IF(B45&lt;$P$2,1,IF(B45&lt;$Q$2,2,IF(B45&lt;$R$2,3,IF(B45&lt;$S$2,4,IF(B45&lt;$T$2,5,IF(B45&lt;$U$2,6,IF(B45&lt;$V$2,7,IF(B45&lt;$W$2,8,IF(B45&lt;$X$2,9,IF(B45&lt;$Y$2,10,IF(B45&lt;$Z$2,11,IF(B45&lt;=$Z$3,12,0)))))))))))))</f>
        <v>0</v>
      </c>
      <c r="M45" s="135" t="s">
        <v>5</v>
      </c>
      <c r="O45" s="244"/>
      <c r="P45" s="244"/>
      <c r="Q45" s="244"/>
      <c r="R45" s="244"/>
      <c r="S45" s="244"/>
      <c r="T45" s="244"/>
      <c r="U45" s="244"/>
      <c r="V45" s="244"/>
      <c r="W45" s="244"/>
      <c r="X45" s="244"/>
      <c r="Y45" s="244"/>
      <c r="Z45" s="244"/>
      <c r="AA45" s="244"/>
      <c r="AB45" s="244"/>
    </row>
    <row r="46" spans="1:28" ht="13.35" customHeight="1" thickBot="1">
      <c r="A46" s="50" t="s">
        <v>5</v>
      </c>
      <c r="B46" s="141"/>
      <c r="C46" s="80"/>
      <c r="D46" s="93"/>
      <c r="E46" s="226"/>
      <c r="F46" s="89"/>
      <c r="G46" s="81"/>
      <c r="H46" s="82"/>
      <c r="I46" s="83" t="str">
        <f t="shared" si="7"/>
        <v/>
      </c>
      <c r="J46" s="361" t="str">
        <f t="shared" si="8"/>
        <v/>
      </c>
      <c r="K46" s="200">
        <v>45</v>
      </c>
      <c r="L46" s="133">
        <f t="shared" si="9"/>
        <v>0</v>
      </c>
      <c r="M46" s="135" t="s">
        <v>5</v>
      </c>
      <c r="O46" s="244"/>
      <c r="P46" s="244"/>
      <c r="Q46" s="244"/>
      <c r="R46" s="244"/>
      <c r="S46" s="244"/>
      <c r="T46" s="244"/>
      <c r="U46" s="244"/>
      <c r="V46" s="244"/>
      <c r="W46" s="244"/>
      <c r="X46" s="244"/>
      <c r="Y46" s="244"/>
      <c r="Z46" s="244"/>
      <c r="AA46" s="244"/>
      <c r="AB46" s="244"/>
    </row>
    <row r="47" spans="1:28" ht="12" customHeight="1" thickTop="1" thickBot="1">
      <c r="A47" s="391" t="s">
        <v>283</v>
      </c>
      <c r="B47" s="1244" t="str">
        <f>IF($A$48=0,"^ Zeile einfügen","bis hierher ziehen!")</f>
        <v>^ Zeile einfügen</v>
      </c>
      <c r="C47" s="1244"/>
      <c r="D47" s="392" t="s">
        <v>5</v>
      </c>
      <c r="E47" s="393" t="s">
        <v>5</v>
      </c>
      <c r="F47" s="394" t="s">
        <v>5</v>
      </c>
      <c r="G47" s="394"/>
      <c r="H47" s="395"/>
      <c r="I47" s="396"/>
      <c r="J47" s="425"/>
      <c r="K47" s="201">
        <v>0</v>
      </c>
      <c r="L47" s="185" t="s">
        <v>5</v>
      </c>
      <c r="M47" s="398" t="s">
        <v>283</v>
      </c>
    </row>
    <row r="48" spans="1:28" ht="12" customHeight="1" thickTop="1" thickBot="1">
      <c r="A48" s="390">
        <f>COUNTBLANK(A3:A47)+A49</f>
        <v>0</v>
      </c>
      <c r="B48" s="193" t="str">
        <f>+EÜR!C31</f>
        <v>ü</v>
      </c>
      <c r="C48" s="194" t="s">
        <v>5</v>
      </c>
      <c r="D48" s="194" t="s">
        <v>5</v>
      </c>
      <c r="E48" s="195" t="s">
        <v>5</v>
      </c>
      <c r="F48" s="196" t="s">
        <v>5</v>
      </c>
      <c r="G48" s="197">
        <f>SUBTOTAL(9,G3:G47)</f>
        <v>0</v>
      </c>
      <c r="H48" s="1242">
        <f>SUBTOTAL(9,I3:I47)</f>
        <v>0</v>
      </c>
      <c r="I48" s="1243">
        <f>SUBTOTAL(9,I3:I47)</f>
        <v>0</v>
      </c>
      <c r="J48" s="1293">
        <f>G48-H48</f>
        <v>0</v>
      </c>
      <c r="K48" s="1294"/>
      <c r="L48" s="1295"/>
      <c r="M48" s="135" t="s">
        <v>5</v>
      </c>
    </row>
    <row r="49" spans="1:14" ht="12" customHeight="1" thickTop="1" thickBot="1">
      <c r="A49" s="390">
        <f>IF(ISERROR(J47),1,0)</f>
        <v>0</v>
      </c>
      <c r="B49" s="192">
        <f>J48-G49-E49-C49</f>
        <v>0</v>
      </c>
      <c r="C49" s="1239">
        <f>SUMIF(F4:F47,"Kreditkarte",G4:G47)</f>
        <v>0</v>
      </c>
      <c r="D49" s="1239"/>
      <c r="E49" s="1240">
        <f>SUMIF(F4:F47,"Konto",G4:G47)</f>
        <v>0</v>
      </c>
      <c r="F49" s="1240"/>
      <c r="G49" s="1241">
        <f>SUMIF(F4:F47,"Geldbeutel",G4:G47)</f>
        <v>0</v>
      </c>
      <c r="H49" s="1241"/>
      <c r="I49" s="1241"/>
      <c r="J49" s="1296"/>
      <c r="K49" s="1297"/>
      <c r="L49" s="1298"/>
      <c r="M49" s="135" t="s">
        <v>5</v>
      </c>
    </row>
    <row r="50" spans="1:14" s="15" customFormat="1" ht="5.25" customHeight="1" thickTop="1">
      <c r="A50" s="36"/>
      <c r="B50" s="2"/>
      <c r="C50" s="3"/>
      <c r="D50" s="3"/>
      <c r="E50" s="1"/>
      <c r="G50" s="16"/>
      <c r="H50" s="16"/>
      <c r="I50" s="17"/>
      <c r="J50" s="18"/>
      <c r="K50" s="18"/>
      <c r="L50" s="31"/>
      <c r="N50" s="148"/>
    </row>
    <row r="51" spans="1:14">
      <c r="A51" s="36"/>
    </row>
  </sheetData>
  <sheetProtection formatCells="0" insertRows="0" deleteRows="0" selectLockedCells="1" sort="0" autoFilter="0"/>
  <sortState xmlns:xlrd2="http://schemas.microsoft.com/office/spreadsheetml/2017/richdata2" ref="B4:H27">
    <sortCondition ref="B4:B27"/>
  </sortState>
  <mergeCells count="15">
    <mergeCell ref="C2:I2"/>
    <mergeCell ref="J2:L2"/>
    <mergeCell ref="AA9:AB9"/>
    <mergeCell ref="O10:Z10"/>
    <mergeCell ref="O11:Z11"/>
    <mergeCell ref="AA4:AB4"/>
    <mergeCell ref="AA13:AB13"/>
    <mergeCell ref="O14:Z14"/>
    <mergeCell ref="AA14:AB14"/>
    <mergeCell ref="J48:L49"/>
    <mergeCell ref="C49:D49"/>
    <mergeCell ref="E49:F49"/>
    <mergeCell ref="G49:I49"/>
    <mergeCell ref="H48:I48"/>
    <mergeCell ref="B47:C47"/>
  </mergeCells>
  <conditionalFormatting sqref="A4:A46">
    <cfRule type="expression" dxfId="1050" priority="22">
      <formula>ISERROR(J4)</formula>
    </cfRule>
    <cfRule type="cellIs" dxfId="1049" priority="23" operator="equal">
      <formula>""</formula>
    </cfRule>
  </conditionalFormatting>
  <conditionalFormatting sqref="A47:C47">
    <cfRule type="expression" dxfId="1048" priority="7">
      <formula>$A$48&lt;&gt;0</formula>
    </cfRule>
  </conditionalFormatting>
  <conditionalFormatting sqref="B2">
    <cfRule type="expression" dxfId="1047" priority="49" stopIfTrue="1">
      <formula>$B$48="x"</formula>
    </cfRule>
  </conditionalFormatting>
  <conditionalFormatting sqref="B4:B46">
    <cfRule type="cellIs" dxfId="1044" priority="36" operator="equal">
      <formula>""</formula>
    </cfRule>
  </conditionalFormatting>
  <conditionalFormatting sqref="B48">
    <cfRule type="cellIs" dxfId="1043" priority="72" operator="equal">
      <formula>"y"</formula>
    </cfRule>
  </conditionalFormatting>
  <conditionalFormatting sqref="B3:J3">
    <cfRule type="expression" dxfId="1042" priority="10555">
      <formula>$B$48="x"</formula>
    </cfRule>
  </conditionalFormatting>
  <conditionalFormatting sqref="B4:J46">
    <cfRule type="expression" dxfId="1041" priority="32">
      <formula>$B$1="x"</formula>
    </cfRule>
  </conditionalFormatting>
  <conditionalFormatting sqref="B3:L3">
    <cfRule type="expression" dxfId="1040" priority="66">
      <formula>$B$48="x"</formula>
    </cfRule>
  </conditionalFormatting>
  <conditionalFormatting sqref="C4:D46">
    <cfRule type="expression" dxfId="1039" priority="39">
      <formula>AND($B4&lt;&gt;"",$C4="")</formula>
    </cfRule>
  </conditionalFormatting>
  <conditionalFormatting sqref="C49:I49">
    <cfRule type="cellIs" dxfId="1038" priority="71" stopIfTrue="1" operator="lessThan">
      <formula>0</formula>
    </cfRule>
    <cfRule type="cellIs" dxfId="1037" priority="69" stopIfTrue="1" operator="greaterThanOrEqual">
      <formula>0</formula>
    </cfRule>
  </conditionalFormatting>
  <conditionalFormatting sqref="D47:J47">
    <cfRule type="expression" dxfId="1036" priority="9">
      <formula>$A$48&lt;&gt;0</formula>
    </cfRule>
  </conditionalFormatting>
  <conditionalFormatting sqref="H4:H46">
    <cfRule type="expression" dxfId="1035" priority="35">
      <formula>AND(G4&lt;&gt;"",H4="",$I$1&lt;&gt;"x")</formula>
    </cfRule>
  </conditionalFormatting>
  <conditionalFormatting sqref="H4:I46">
    <cfRule type="expression" dxfId="1034" priority="33">
      <formula>AND($I4&lt;&gt;0,$I$1&lt;&gt;"ü")</formula>
    </cfRule>
    <cfRule type="expression" dxfId="1033" priority="34">
      <formula>$I$1&lt;&gt;"ü"</formula>
    </cfRule>
  </conditionalFormatting>
  <conditionalFormatting sqref="J48:L48 C49:L49 C48:H48">
    <cfRule type="expression" dxfId="1031" priority="68">
      <formula>$B$48="x"</formula>
    </cfRule>
  </conditionalFormatting>
  <conditionalFormatting sqref="J48:L49">
    <cfRule type="expression" dxfId="1030" priority="67">
      <formula>AND($B$48="x",$J$48&lt;&gt;0)</formula>
    </cfRule>
  </conditionalFormatting>
  <conditionalFormatting sqref="K4:L46">
    <cfRule type="expression" dxfId="1029" priority="18027">
      <formula>$B$48="x"</formula>
    </cfRule>
  </conditionalFormatting>
  <conditionalFormatting sqref="M3">
    <cfRule type="cellIs" dxfId="1028" priority="31" operator="equal">
      <formula>""</formula>
    </cfRule>
  </conditionalFormatting>
  <conditionalFormatting sqref="M4:M46">
    <cfRule type="expression" dxfId="1027" priority="29">
      <formula>ISERROR(J4)</formula>
    </cfRule>
    <cfRule type="cellIs" dxfId="1026" priority="30" operator="equal">
      <formula>""</formula>
    </cfRule>
  </conditionalFormatting>
  <conditionalFormatting sqref="M47">
    <cfRule type="expression" dxfId="1025" priority="8">
      <formula>$A$48&lt;&gt;0</formula>
    </cfRule>
  </conditionalFormatting>
  <conditionalFormatting sqref="M47:M49">
    <cfRule type="cellIs" dxfId="1024" priority="11" operator="equal">
      <formula>""</formula>
    </cfRule>
  </conditionalFormatting>
  <conditionalFormatting sqref="N10:AB10">
    <cfRule type="expression" dxfId="1023" priority="6">
      <formula>$N$2=0</formula>
    </cfRule>
  </conditionalFormatting>
  <conditionalFormatting sqref="O11:Z11">
    <cfRule type="cellIs" dxfId="1022" priority="53" operator="equal">
      <formula>"Fehler!"</formula>
    </cfRule>
  </conditionalFormatting>
  <conditionalFormatting sqref="O4:AA4">
    <cfRule type="expression" dxfId="1018" priority="48">
      <formula>$N$2=0</formula>
    </cfRule>
  </conditionalFormatting>
  <conditionalFormatting sqref="O2:AB3">
    <cfRule type="expression" dxfId="1016" priority="1">
      <formula>$N$2=0</formula>
    </cfRule>
  </conditionalFormatting>
  <conditionalFormatting sqref="O5:AB8 O9:AA9">
    <cfRule type="expression" dxfId="1015" priority="52">
      <formula>$N$2=0</formula>
    </cfRule>
  </conditionalFormatting>
  <conditionalFormatting sqref="O11:AB14">
    <cfRule type="expression" dxfId="1014" priority="3">
      <formula>$N$2=0</formula>
    </cfRule>
  </conditionalFormatting>
  <conditionalFormatting sqref="O47:AB49">
    <cfRule type="expression" dxfId="1013" priority="10">
      <formula>$N$2=0</formula>
    </cfRule>
  </conditionalFormatting>
  <dataValidations count="2">
    <dataValidation type="list" allowBlank="1" showInputMessage="1" showErrorMessage="1" sqref="F4:F46" xr:uid="{DEC20982-AACC-4FF3-946D-5344F4FC355E}">
      <formula1>"Konto,Geldbeutel,Kreditkarte,x"</formula1>
    </dataValidation>
    <dataValidation type="list" allowBlank="1" showInputMessage="1" showErrorMessage="1" sqref="H4:H46" xr:uid="{D06A275F-76F0-4A93-BD70-01D03D79394D}">
      <formula1>"19,7,0,~"</formula1>
    </dataValidation>
  </dataValidations>
  <hyperlinks>
    <hyperlink ref="J2" location="'2022 EÜR'!A1" display="Menü" xr:uid="{52F72723-27E3-4008-BD4C-826ACBFE6382}"/>
    <hyperlink ref="J2:L2" location="EÜR!A1" display="EÜR" xr:uid="{5DED0BD8-DFAA-41E5-BEF8-DE7D971ACA99}"/>
  </hyperlinks>
  <printOptions horizontalCentered="1"/>
  <pageMargins left="0" right="0" top="0" bottom="0.31496062992125984" header="0" footer="0"/>
  <pageSetup paperSize="9" orientation="portrait" r:id="rId1"/>
  <headerFooter>
    <oddFooter>&amp;L&amp;"Arial,Standard"&amp;8Datei: &amp;Z&amp;F/&amp;A&amp;C&amp;"Arial,Standard"&amp;8Seite &amp;P von &amp;N&amp;R&amp;"Arial,Standard"&amp;8Druck: &amp;D&amp;T Uhr</oddFooter>
  </headerFooter>
  <extLst>
    <ext xmlns:x14="http://schemas.microsoft.com/office/spreadsheetml/2009/9/main" uri="{78C0D931-6437-407d-A8EE-F0AAD7539E65}">
      <x14:conditionalFormattings>
        <x14:conditionalFormatting xmlns:xm="http://schemas.microsoft.com/office/excel/2006/main">
          <x14:cfRule type="cellIs" priority="37" operator="greaterThan" id="{E03EDF4F-2945-43A5-8607-D335980C7554}">
            <xm:f>EÜR!$I$78</xm:f>
            <x14:dxf>
              <font>
                <b/>
                <i val="0"/>
                <color rgb="FFFFFF00"/>
              </font>
              <fill>
                <patternFill>
                  <bgColor rgb="FFC00000"/>
                </patternFill>
              </fill>
            </x14:dxf>
          </x14:cfRule>
          <x14:cfRule type="cellIs" priority="38" operator="lessThan" id="{432ADB05-5D81-490F-A60C-F11CDE5482F7}">
            <xm:f>EÜR!$I$77</xm:f>
            <x14:dxf>
              <font>
                <b/>
                <i val="0"/>
                <color rgb="FFFFFF00"/>
              </font>
              <fill>
                <patternFill>
                  <bgColor rgb="FFC00000"/>
                </patternFill>
              </fill>
            </x14:dxf>
          </x14:cfRule>
          <xm:sqref>B4:B46</xm:sqref>
        </x14:conditionalFormatting>
        <x14:conditionalFormatting xmlns:xm="http://schemas.microsoft.com/office/excel/2006/main">
          <x14:cfRule type="expression" priority="50" id="{BDBF71C4-E709-425E-9684-858F30DD58ED}">
            <xm:f>AND(EÜR!$J$66&lt;&gt;"ü",$H$48&lt;&gt;0)</xm:f>
            <x14:dxf>
              <font>
                <b/>
                <i val="0"/>
                <color rgb="FFFFFF00"/>
              </font>
              <fill>
                <patternFill>
                  <bgColor rgb="FFFF0000"/>
                </patternFill>
              </fill>
            </x14:dxf>
          </x14:cfRule>
          <xm:sqref>H48:I48</xm:sqref>
        </x14:conditionalFormatting>
        <x14:conditionalFormatting xmlns:xm="http://schemas.microsoft.com/office/excel/2006/main">
          <x14:cfRule type="expression" priority="54" id="{0658FE0A-D6DD-4D1B-AACF-3560B724CF15}">
            <xm:f>AND(O13&lt;&gt;0,U!L36="!",U!L37="!")</xm:f>
            <x14:dxf>
              <font>
                <b/>
                <i val="0"/>
                <color rgb="FFFF0000"/>
              </font>
              <fill>
                <patternFill>
                  <bgColor rgb="FFFFCCCC"/>
                </patternFill>
              </fill>
            </x14:dxf>
          </x14:cfRule>
          <x14:cfRule type="expression" priority="55" id="{87BAF67F-C0C6-4D5B-9855-1C8E5BCE0B6F}">
            <xm:f>U!L37&lt;&gt;"!"</xm:f>
            <x14:dxf>
              <font>
                <b/>
                <i val="0"/>
                <color rgb="FF006666"/>
              </font>
              <fill>
                <patternFill>
                  <bgColor theme="6" tint="0.39994506668294322"/>
                </patternFill>
              </fill>
            </x14:dxf>
          </x14:cfRule>
          <x14:cfRule type="expression" priority="56" id="{3A6FAE76-FA03-4DF8-9DFA-7B308467095C}">
            <xm:f>U!L36&lt;&gt;"!"</xm:f>
            <x14:dxf>
              <font>
                <b/>
                <i val="0"/>
                <color theme="9" tint="-0.499984740745262"/>
              </font>
              <fill>
                <patternFill>
                  <bgColor rgb="FFFFFF99"/>
                </patternFill>
              </fill>
            </x14:dxf>
          </x14:cfRule>
          <xm:sqref>O13:Z13</xm:sqref>
        </x14:conditionalFormatting>
        <x14:conditionalFormatting xmlns:xm="http://schemas.microsoft.com/office/excel/2006/main">
          <x14:cfRule type="expression" priority="2" id="{1C3E1A17-55CE-4C76-94C4-B9B8DFD97A5B}">
            <xm:f>EÜR!$J$66="-"</xm:f>
            <x14:dxf>
              <font>
                <b/>
                <i val="0"/>
                <color theme="0"/>
              </font>
              <fill>
                <patternFill>
                  <bgColor theme="0"/>
                </patternFill>
              </fill>
              <border>
                <left/>
                <right/>
                <top/>
                <bottom/>
              </border>
            </x14:dxf>
          </x14:cfRule>
          <xm:sqref>O12:AA14</xm:sqref>
        </x14:conditionalFormatting>
      </x14:conditionalFormattings>
    </ext>
  </extLs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08D07A-B665-446C-A2DA-ECFC1FEE1CBC}">
  <sheetPr codeName="Tabelle19">
    <tabColor theme="9" tint="0.39997558519241921"/>
    <pageSetUpPr autoPageBreaks="0"/>
  </sheetPr>
  <dimension ref="A1:AB51"/>
  <sheetViews>
    <sheetView showGridLines="0" showRowColHeaders="0" zoomScaleNormal="100" workbookViewId="0">
      <pane ySplit="3" topLeftCell="A4" activePane="bottomLeft" state="frozen"/>
      <selection activeCell="F4" sqref="F4:F46"/>
      <selection pane="bottomLeft" activeCell="A4" sqref="A4"/>
    </sheetView>
  </sheetViews>
  <sheetFormatPr baseColWidth="10" defaultColWidth="9.77734375" defaultRowHeight="12.75"/>
  <cols>
    <col min="1" max="1" width="0.77734375" style="12" customWidth="1"/>
    <col min="2" max="2" width="7.6640625" style="30" customWidth="1"/>
    <col min="3" max="3" width="21.6640625" style="24" customWidth="1"/>
    <col min="4" max="4" width="7.6640625" style="24" customWidth="1"/>
    <col min="5" max="5" width="6.6640625" style="25" customWidth="1"/>
    <col min="6" max="6" width="9.6640625" style="26" customWidth="1"/>
    <col min="7" max="7" width="9.6640625" style="27" customWidth="1"/>
    <col min="8" max="8" width="2.6640625" style="28" customWidth="1"/>
    <col min="9" max="9" width="6.6640625" style="29" customWidth="1"/>
    <col min="10" max="10" width="9.6640625" style="27" customWidth="1"/>
    <col min="11" max="11" width="2.5546875" style="27" hidden="1" customWidth="1"/>
    <col min="12" max="12" width="1.5546875" style="32" hidden="1" customWidth="1"/>
    <col min="13" max="13" width="0.77734375" style="13" customWidth="1"/>
    <col min="14" max="14" width="1.77734375" style="147" customWidth="1"/>
    <col min="15" max="26" width="8.77734375" style="13" customWidth="1"/>
    <col min="27" max="27" width="10.33203125" style="13" customWidth="1"/>
    <col min="28" max="28" width="8.33203125" style="13" customWidth="1"/>
    <col min="29" max="16384" width="9.77734375" style="13"/>
  </cols>
  <sheetData>
    <row r="1" spans="1:28" s="37" customFormat="1" ht="3" customHeight="1" thickBot="1">
      <c r="A1" s="36"/>
      <c r="B1" s="53" t="str">
        <f>+B48</f>
        <v>ü</v>
      </c>
      <c r="C1" s="54">
        <f>+C49</f>
        <v>0</v>
      </c>
      <c r="D1" s="54"/>
      <c r="E1" s="53">
        <f>+E49</f>
        <v>0</v>
      </c>
      <c r="F1" s="53"/>
      <c r="G1" s="54">
        <f>+G49</f>
        <v>0</v>
      </c>
      <c r="H1" s="53"/>
      <c r="I1" s="338" t="str">
        <f>+EÜR!J66</f>
        <v>-</v>
      </c>
      <c r="J1" s="54">
        <f>+J48</f>
        <v>0</v>
      </c>
      <c r="K1" s="198"/>
      <c r="L1" s="56"/>
      <c r="N1" s="190"/>
    </row>
    <row r="2" spans="1:28" ht="23.1" customHeight="1" thickTop="1" thickBot="1">
      <c r="A2" s="36"/>
      <c r="B2" s="296" t="str">
        <f>+EÜR!D32</f>
        <v>A11</v>
      </c>
      <c r="C2" s="1290" t="str">
        <f>+EÜR!F32</f>
        <v>Kosten für Rechts/Steuerberatung, Buchführung</v>
      </c>
      <c r="D2" s="1291"/>
      <c r="E2" s="1291"/>
      <c r="F2" s="1291"/>
      <c r="G2" s="1291"/>
      <c r="H2" s="1291"/>
      <c r="I2" s="1292"/>
      <c r="J2" s="1227" t="s">
        <v>8</v>
      </c>
      <c r="K2" s="1228"/>
      <c r="L2" s="1229"/>
      <c r="M2" s="134"/>
      <c r="N2" s="190">
        <f>IF(OR(B48="x",N3=1),0,1)</f>
        <v>1</v>
      </c>
      <c r="O2" s="188">
        <f>+EOMONTH(EÜR!$I$3,-1)+1</f>
        <v>46023</v>
      </c>
      <c r="P2" s="188">
        <f t="shared" ref="P2:Z2" si="0">+O3+1</f>
        <v>46054</v>
      </c>
      <c r="Q2" s="188">
        <f t="shared" si="0"/>
        <v>46082</v>
      </c>
      <c r="R2" s="188">
        <f t="shared" si="0"/>
        <v>46113</v>
      </c>
      <c r="S2" s="188">
        <f t="shared" si="0"/>
        <v>46143</v>
      </c>
      <c r="T2" s="188">
        <f t="shared" si="0"/>
        <v>46174</v>
      </c>
      <c r="U2" s="188">
        <f t="shared" si="0"/>
        <v>46204</v>
      </c>
      <c r="V2" s="188">
        <f t="shared" si="0"/>
        <v>46235</v>
      </c>
      <c r="W2" s="188">
        <f t="shared" si="0"/>
        <v>46266</v>
      </c>
      <c r="X2" s="188">
        <f t="shared" si="0"/>
        <v>46296</v>
      </c>
      <c r="Y2" s="188">
        <f t="shared" si="0"/>
        <v>46327</v>
      </c>
      <c r="Z2" s="188">
        <f t="shared" si="0"/>
        <v>46357</v>
      </c>
      <c r="AA2" s="48"/>
    </row>
    <row r="3" spans="1:28" ht="14.25" customHeight="1" thickTop="1">
      <c r="A3" s="36" t="s">
        <v>5</v>
      </c>
      <c r="B3" s="58" t="s">
        <v>1</v>
      </c>
      <c r="C3" s="59" t="s">
        <v>6</v>
      </c>
      <c r="D3" s="60"/>
      <c r="E3" s="310" t="s">
        <v>7</v>
      </c>
      <c r="F3" s="61" t="s">
        <v>4</v>
      </c>
      <c r="G3" s="62" t="s">
        <v>31</v>
      </c>
      <c r="H3" s="63" t="s">
        <v>33</v>
      </c>
      <c r="I3" s="64" t="s">
        <v>32</v>
      </c>
      <c r="J3" s="275" t="s">
        <v>34</v>
      </c>
      <c r="K3" s="199">
        <v>0</v>
      </c>
      <c r="L3" s="65" t="s">
        <v>5</v>
      </c>
      <c r="M3" s="135" t="s">
        <v>5</v>
      </c>
      <c r="N3" s="222">
        <f>IF(SUBTOTAL(109,K3:K47)&lt;&gt;SUM(K3:K47),1,0)</f>
        <v>0</v>
      </c>
      <c r="O3" s="189">
        <f>EOMONTH(O2,0)</f>
        <v>46053</v>
      </c>
      <c r="P3" s="189">
        <f t="shared" ref="P3:Z3" si="1">EOMONTH(P2,0)</f>
        <v>46081</v>
      </c>
      <c r="Q3" s="189">
        <f t="shared" si="1"/>
        <v>46112</v>
      </c>
      <c r="R3" s="189">
        <f t="shared" si="1"/>
        <v>46142</v>
      </c>
      <c r="S3" s="189">
        <f t="shared" si="1"/>
        <v>46173</v>
      </c>
      <c r="T3" s="189">
        <f t="shared" si="1"/>
        <v>46203</v>
      </c>
      <c r="U3" s="189">
        <f t="shared" si="1"/>
        <v>46234</v>
      </c>
      <c r="V3" s="189">
        <f t="shared" si="1"/>
        <v>46265</v>
      </c>
      <c r="W3" s="189">
        <f t="shared" si="1"/>
        <v>46295</v>
      </c>
      <c r="X3" s="189">
        <f t="shared" si="1"/>
        <v>46326</v>
      </c>
      <c r="Y3" s="189">
        <f t="shared" si="1"/>
        <v>46356</v>
      </c>
      <c r="Z3" s="189">
        <f t="shared" si="1"/>
        <v>46387</v>
      </c>
      <c r="AB3" s="14"/>
    </row>
    <row r="4" spans="1:28" ht="13.35" customHeight="1">
      <c r="A4" s="50" t="s">
        <v>5</v>
      </c>
      <c r="B4" s="141"/>
      <c r="C4" s="80"/>
      <c r="D4" s="93"/>
      <c r="E4" s="226"/>
      <c r="F4" s="89"/>
      <c r="G4" s="81"/>
      <c r="H4" s="82"/>
      <c r="I4" s="83" t="str">
        <f t="shared" ref="I4:I44" si="2">IF(G4&lt;&gt;"",+G4-G4/(1+H4/100),"")</f>
        <v/>
      </c>
      <c r="J4" s="361" t="str">
        <f t="shared" ref="J4:J44" si="3">IF(G4&lt;&gt;0,+G4-I4,"")</f>
        <v/>
      </c>
      <c r="K4" s="200">
        <v>1</v>
      </c>
      <c r="L4" s="133">
        <f>IF(B4&lt;$O$2,0,IF(B4&lt;$P$2,1,IF(B4&lt;$Q$2,2,IF(B4&lt;$R$2,3,IF(B4&lt;$S$2,4,IF(B4&lt;$T$2,5,IF(B4&lt;$U$2,6,IF(B4&lt;$V$2,7,IF(B4&lt;$W$2,8,IF(B4&lt;$X$2,9,IF(B4&lt;$Y$2,10,IF(B4&lt;$Z$2,11,IF(B4&lt;=$Z$3,12,0)))))))))))))</f>
        <v>0</v>
      </c>
      <c r="M4" s="135" t="s">
        <v>5</v>
      </c>
      <c r="N4" s="190">
        <f>+N10+AA12+AA16</f>
        <v>0</v>
      </c>
      <c r="O4" s="251" t="s">
        <v>36</v>
      </c>
      <c r="P4" s="251" t="s">
        <v>37</v>
      </c>
      <c r="Q4" s="251" t="s">
        <v>38</v>
      </c>
      <c r="R4" s="251" t="s">
        <v>39</v>
      </c>
      <c r="S4" s="251" t="s">
        <v>40</v>
      </c>
      <c r="T4" s="251" t="s">
        <v>41</v>
      </c>
      <c r="U4" s="251" t="s">
        <v>42</v>
      </c>
      <c r="V4" s="251" t="s">
        <v>43</v>
      </c>
      <c r="W4" s="251" t="s">
        <v>44</v>
      </c>
      <c r="X4" s="251" t="s">
        <v>45</v>
      </c>
      <c r="Y4" s="251" t="s">
        <v>46</v>
      </c>
      <c r="Z4" s="251" t="s">
        <v>47</v>
      </c>
      <c r="AA4" s="1209" t="s">
        <v>255</v>
      </c>
      <c r="AB4" s="1210"/>
    </row>
    <row r="5" spans="1:28" ht="13.35" customHeight="1">
      <c r="A5" s="50" t="s">
        <v>5</v>
      </c>
      <c r="B5" s="141"/>
      <c r="C5" s="80"/>
      <c r="D5" s="93"/>
      <c r="E5" s="226"/>
      <c r="F5" s="89"/>
      <c r="G5" s="81"/>
      <c r="H5" s="82"/>
      <c r="I5" s="83" t="str">
        <f t="shared" si="2"/>
        <v/>
      </c>
      <c r="J5" s="361" t="str">
        <f t="shared" si="3"/>
        <v/>
      </c>
      <c r="K5" s="200">
        <v>2</v>
      </c>
      <c r="L5" s="133">
        <f t="shared" ref="L5:L44" si="4">IF(B5&lt;$O$2,0,IF(B5&lt;$P$2,1,IF(B5&lt;$Q$2,2,IF(B5&lt;$R$2,3,IF(B5&lt;$S$2,4,IF(B5&lt;$T$2,5,IF(B5&lt;$U$2,6,IF(B5&lt;$V$2,7,IF(B5&lt;$W$2,8,IF(B5&lt;$X$2,9,IF(B5&lt;$Y$2,10,IF(B5&lt;$Z$2,11,IF(B5&lt;=$Z$3,12,0)))))))))))))</f>
        <v>0</v>
      </c>
      <c r="M5" s="135" t="s">
        <v>5</v>
      </c>
      <c r="O5" s="252">
        <f>SUMIFS($G$3:$G$47,$L$3:$L$47,1,$F$3:$F$47,"Konto")</f>
        <v>0</v>
      </c>
      <c r="P5" s="252">
        <f>SUMIFS($G$3:$G$47,$L$3:$L$47,2,$F$3:$F$47,"Konto")</f>
        <v>0</v>
      </c>
      <c r="Q5" s="252">
        <f>SUMIFS($G$3:$G$47,$L$3:$L$47,3,$F$3:$F$47,"Konto")</f>
        <v>0</v>
      </c>
      <c r="R5" s="252">
        <f>SUMIFS($G$3:$G$47,$L$3:$L$47,4,$F$3:$F$47,"Konto")</f>
        <v>0</v>
      </c>
      <c r="S5" s="252">
        <f>SUMIFS($G$3:$G$47,$L$3:$L$47,5,$F$3:$F$47,"Konto")</f>
        <v>0</v>
      </c>
      <c r="T5" s="252">
        <f>SUMIFS($G$3:$G$47,$L$3:$L$47,6,$F$3:$F$47,"Konto")</f>
        <v>0</v>
      </c>
      <c r="U5" s="252">
        <f>SUMIFS($G$3:$G$47,$L$3:$L$47,7,$F$3:$F$47,"Konto")</f>
        <v>0</v>
      </c>
      <c r="V5" s="252">
        <f>SUMIFS($G$3:$G$47,$L$3:$L$47,8,$F$3:$F$47,"Konto")</f>
        <v>0</v>
      </c>
      <c r="W5" s="252">
        <f>SUMIFS($G$3:$G$47,$L$3:$L$47,9,$F$3:$F$47,"Konto")</f>
        <v>0</v>
      </c>
      <c r="X5" s="252">
        <f>SUMIFS($G$3:$G$47,$L$3:$L$47,10,$F$3:$F$47,"Konto")</f>
        <v>0</v>
      </c>
      <c r="Y5" s="252">
        <f>SUMIFS($G$3:$G$47,$L$3:$L$47,11,$F$3:$F$47,"Konto")</f>
        <v>0</v>
      </c>
      <c r="Z5" s="252">
        <f>SUMIFS($G$3:$G$47,$L$3:$L$47,12,$F$3:$F$47,"Konto")</f>
        <v>0</v>
      </c>
      <c r="AA5" s="253">
        <f>SUM(O5:Z5)</f>
        <v>0</v>
      </c>
      <c r="AB5" s="254" t="s">
        <v>140</v>
      </c>
    </row>
    <row r="6" spans="1:28" ht="13.35" customHeight="1">
      <c r="A6" s="50" t="s">
        <v>5</v>
      </c>
      <c r="B6" s="141"/>
      <c r="C6" s="80"/>
      <c r="D6" s="93"/>
      <c r="E6" s="226"/>
      <c r="F6" s="89"/>
      <c r="G6" s="81"/>
      <c r="H6" s="82"/>
      <c r="I6" s="83" t="str">
        <f t="shared" si="2"/>
        <v/>
      </c>
      <c r="J6" s="361" t="str">
        <f t="shared" si="3"/>
        <v/>
      </c>
      <c r="K6" s="200">
        <v>3</v>
      </c>
      <c r="L6" s="133">
        <f t="shared" si="4"/>
        <v>0</v>
      </c>
      <c r="M6" s="135" t="s">
        <v>5</v>
      </c>
      <c r="N6" s="190"/>
      <c r="O6" s="252">
        <f>SUMIFS($G$3:$G$47,$L$3:$L$47,1,$F$3:$F$47,"Kreditkarte")</f>
        <v>0</v>
      </c>
      <c r="P6" s="252">
        <f>SUMIFS($G$3:$G$47,$L$3:$L$47,2,$F$3:$F$47,"Kreditkarte")</f>
        <v>0</v>
      </c>
      <c r="Q6" s="252">
        <f>SUMIFS($G$3:$G$47,$L$3:$L$47,3,$F$3:$F$47,"Kreditkarte")</f>
        <v>0</v>
      </c>
      <c r="R6" s="252">
        <f>SUMIFS($G$3:$G$47,$L$3:$L$47,4,$F$3:$F$47,"Kreditkarte")</f>
        <v>0</v>
      </c>
      <c r="S6" s="252">
        <f>SUMIFS($G$3:$G$47,$L$3:$L$47,5,$F$3:$F$47,"Kreditkarte")</f>
        <v>0</v>
      </c>
      <c r="T6" s="252">
        <f>SUMIFS($G$3:$G$47,$L$3:$L$47,6,$F$3:$F$47,"Kreditkarte")</f>
        <v>0</v>
      </c>
      <c r="U6" s="252">
        <f>SUMIFS($G$3:$G$47,$L$3:$L$47,7,$F$3:$F$47,"Kreditkarte")</f>
        <v>0</v>
      </c>
      <c r="V6" s="252">
        <f>SUMIFS($G$3:$G$47,$L$3:$L$47,8,$F$3:$F$47,"Kreditkarte")</f>
        <v>0</v>
      </c>
      <c r="W6" s="252">
        <f>SUMIFS($G$3:$G$47,$L$3:$L$47,9,$F$3:$F$47,"Kreditkarte")</f>
        <v>0</v>
      </c>
      <c r="X6" s="252">
        <f>SUMIFS($G$3:$G$47,$L$3:$L$47,10,$F$3:$F$47,"Kreditkarte")</f>
        <v>0</v>
      </c>
      <c r="Y6" s="252">
        <f>SUMIFS($G$3:$G$47,$L$3:$L$47,11,$F$3:$F$47,"Kreditkarte")</f>
        <v>0</v>
      </c>
      <c r="Z6" s="252">
        <f>SUMIFS($G$3:$G$47,$L$3:$L$47,12,$F$3:$F$47,"Kreditkarte")</f>
        <v>0</v>
      </c>
      <c r="AA6" s="255">
        <f t="shared" ref="AA6:AA8" si="5">SUM(O6:Z6)</f>
        <v>0</v>
      </c>
      <c r="AB6" s="256" t="s">
        <v>142</v>
      </c>
    </row>
    <row r="7" spans="1:28" ht="13.35" customHeight="1">
      <c r="A7" s="50" t="s">
        <v>5</v>
      </c>
      <c r="B7" s="141"/>
      <c r="C7" s="80"/>
      <c r="D7" s="93"/>
      <c r="E7" s="226"/>
      <c r="F7" s="89"/>
      <c r="G7" s="81"/>
      <c r="H7" s="82"/>
      <c r="I7" s="83" t="str">
        <f t="shared" si="2"/>
        <v/>
      </c>
      <c r="J7" s="361" t="str">
        <f t="shared" si="3"/>
        <v/>
      </c>
      <c r="K7" s="200">
        <v>4</v>
      </c>
      <c r="L7" s="133">
        <f t="shared" si="4"/>
        <v>0</v>
      </c>
      <c r="M7" s="135" t="s">
        <v>5</v>
      </c>
      <c r="O7" s="252">
        <f>SUMIFS($G$3:$G$47,$L$3:$L$47,1,$F$3:$F$47,"Geldbeutel")</f>
        <v>0</v>
      </c>
      <c r="P7" s="252">
        <f>SUMIFS($G$3:$G$47,$L$3:$L$47,2,$F$3:$F$47,"Geldbeutel")</f>
        <v>0</v>
      </c>
      <c r="Q7" s="252">
        <f>SUMIFS($G$3:$G$47,$L$3:$L$47,3,$F$3:$F$47,"Geldbeutel")</f>
        <v>0</v>
      </c>
      <c r="R7" s="252">
        <f>SUMIFS($G$3:$G$47,$L$3:$L$47,4,$F$3:$F$47,"Geldbeutel")</f>
        <v>0</v>
      </c>
      <c r="S7" s="252">
        <f>SUMIFS($G$3:$G$47,$L$3:$L$47,5,$F$3:$F$47,"Geldbeutel")</f>
        <v>0</v>
      </c>
      <c r="T7" s="252">
        <f>SUMIFS($G$3:$G$47,$L$3:$L$47,6,$F$3:$F$47,"Geldbeutel")</f>
        <v>0</v>
      </c>
      <c r="U7" s="252">
        <f>SUMIFS($G$3:$G$47,$L$3:$L$47,7,$F$3:$F$47,"Geldbeutel")</f>
        <v>0</v>
      </c>
      <c r="V7" s="252">
        <f>SUMIFS($G$3:$G$47,$L$3:$L$47,8,$F$3:$F$47,"Geldbeutel")</f>
        <v>0</v>
      </c>
      <c r="W7" s="252">
        <f>SUMIFS($G$3:$G$47,$L$3:$L$47,9,$F$3:$F$47,"Geldbeutel")</f>
        <v>0</v>
      </c>
      <c r="X7" s="252">
        <f>SUMIFS($G$3:$G$47,$L$3:$L$47,10,$F$3:$F$47,"Geldbeutel")</f>
        <v>0</v>
      </c>
      <c r="Y7" s="252">
        <f>SUMIFS($G$3:$G$47,$L$3:$L$47,11,$F$3:$F$47,"Geldbeutel")</f>
        <v>0</v>
      </c>
      <c r="Z7" s="252">
        <f>SUMIFS($G$3:$G$47,$L$3:$L$47,12,$F$3:$F$47,"Geldbeutel")</f>
        <v>0</v>
      </c>
      <c r="AA7" s="253">
        <f t="shared" si="5"/>
        <v>0</v>
      </c>
      <c r="AB7" s="254" t="s">
        <v>139</v>
      </c>
    </row>
    <row r="8" spans="1:28" ht="13.35" customHeight="1">
      <c r="A8" s="50" t="s">
        <v>5</v>
      </c>
      <c r="B8" s="141"/>
      <c r="C8" s="80"/>
      <c r="D8" s="93"/>
      <c r="E8" s="226"/>
      <c r="F8" s="89"/>
      <c r="G8" s="81"/>
      <c r="H8" s="82"/>
      <c r="I8" s="83" t="str">
        <f t="shared" si="2"/>
        <v/>
      </c>
      <c r="J8" s="361" t="str">
        <f t="shared" si="3"/>
        <v/>
      </c>
      <c r="K8" s="200">
        <v>5</v>
      </c>
      <c r="L8" s="133">
        <f t="shared" si="4"/>
        <v>0</v>
      </c>
      <c r="M8" s="135" t="s">
        <v>5</v>
      </c>
      <c r="O8" s="252">
        <f>SUMIFS($G$3:$G$47,$L$3:$L$47,1,$F$3:$F$47,"X")</f>
        <v>0</v>
      </c>
      <c r="P8" s="252">
        <f>SUMIFS($G$3:$G$47,$L$3:$L$47,2,$F$3:$F$47,"X")</f>
        <v>0</v>
      </c>
      <c r="Q8" s="252">
        <f>SUMIFS($G$3:$G$47,$L$3:$L$47,3,$F$3:$F$47,"X")</f>
        <v>0</v>
      </c>
      <c r="R8" s="252">
        <f>SUMIFS($G$3:$G$47,$L$3:$L$47,4,$F$3:$F$47,"X")</f>
        <v>0</v>
      </c>
      <c r="S8" s="252">
        <f>SUMIFS($G$3:$G$47,$L$3:$L$47,5,$F$3:$F$47,"X")</f>
        <v>0</v>
      </c>
      <c r="T8" s="252">
        <f>SUMIFS($G$3:$G$47,$L$3:$L$47,6,$F$3:$F$47,"X")</f>
        <v>0</v>
      </c>
      <c r="U8" s="252">
        <f>SUMIFS($G$3:$G$47,$L$3:$L$47,7,$F$3:$F$47,"X")</f>
        <v>0</v>
      </c>
      <c r="V8" s="252">
        <f>SUMIFS($G$3:$G$47,$L$3:$L$47,8,$F$3:$F$47,"X")</f>
        <v>0</v>
      </c>
      <c r="W8" s="252">
        <f>SUMIFS($G$3:$G$47,$L$3:$L$47,9,$F$3:$F$47,"X")</f>
        <v>0</v>
      </c>
      <c r="X8" s="252">
        <f>SUMIFS($G$3:$G$47,$L$3:$L$47,10,$F$3:$F$47,"X")</f>
        <v>0</v>
      </c>
      <c r="Y8" s="252">
        <f>SUMIFS($G$3:$G$47,$L$3:$L$47,11,$F$3:$F$47,"X")</f>
        <v>0</v>
      </c>
      <c r="Z8" s="252">
        <f>SUMIFS($G$3:$G$47,$L$3:$L$47,12,$F$3:$F$47,"X")</f>
        <v>0</v>
      </c>
      <c r="AA8" s="255">
        <f t="shared" si="5"/>
        <v>0</v>
      </c>
      <c r="AB8" s="256" t="s">
        <v>192</v>
      </c>
    </row>
    <row r="9" spans="1:28" ht="13.35" customHeight="1">
      <c r="A9" s="50" t="s">
        <v>5</v>
      </c>
      <c r="B9" s="141"/>
      <c r="C9" s="80"/>
      <c r="D9" s="93"/>
      <c r="E9" s="226"/>
      <c r="F9" s="89"/>
      <c r="G9" s="81"/>
      <c r="H9" s="82"/>
      <c r="I9" s="83" t="str">
        <f t="shared" si="2"/>
        <v/>
      </c>
      <c r="J9" s="361" t="str">
        <f t="shared" si="3"/>
        <v/>
      </c>
      <c r="K9" s="200">
        <v>6</v>
      </c>
      <c r="L9" s="133">
        <f t="shared" si="4"/>
        <v>0</v>
      </c>
      <c r="M9" s="135" t="s">
        <v>5</v>
      </c>
      <c r="N9" s="191">
        <f>IF(OR(AND(AA14&lt;&gt;0,B48="x"),(O14+AA13)&lt;&gt;H48),1,0)</f>
        <v>0</v>
      </c>
      <c r="O9" s="257">
        <f>SUM(O5:O8)</f>
        <v>0</v>
      </c>
      <c r="P9" s="257">
        <f t="shared" ref="P9:Z9" si="6">SUM(P5:P8)</f>
        <v>0</v>
      </c>
      <c r="Q9" s="257">
        <f t="shared" si="6"/>
        <v>0</v>
      </c>
      <c r="R9" s="257">
        <f t="shared" si="6"/>
        <v>0</v>
      </c>
      <c r="S9" s="257">
        <f t="shared" si="6"/>
        <v>0</v>
      </c>
      <c r="T9" s="257">
        <f t="shared" si="6"/>
        <v>0</v>
      </c>
      <c r="U9" s="257">
        <f t="shared" si="6"/>
        <v>0</v>
      </c>
      <c r="V9" s="257">
        <f t="shared" si="6"/>
        <v>0</v>
      </c>
      <c r="W9" s="257">
        <f t="shared" si="6"/>
        <v>0</v>
      </c>
      <c r="X9" s="257">
        <f t="shared" si="6"/>
        <v>0</v>
      </c>
      <c r="Y9" s="257">
        <f t="shared" si="6"/>
        <v>0</v>
      </c>
      <c r="Z9" s="257">
        <f t="shared" si="6"/>
        <v>0</v>
      </c>
      <c r="AA9" s="1211" t="s">
        <v>197</v>
      </c>
      <c r="AB9" s="1212"/>
    </row>
    <row r="10" spans="1:28" ht="13.35" customHeight="1">
      <c r="A10" s="50" t="s">
        <v>5</v>
      </c>
      <c r="B10" s="141"/>
      <c r="C10" s="80"/>
      <c r="D10" s="93"/>
      <c r="E10" s="226"/>
      <c r="F10" s="89"/>
      <c r="G10" s="81"/>
      <c r="H10" s="82"/>
      <c r="I10" s="83" t="str">
        <f t="shared" si="2"/>
        <v/>
      </c>
      <c r="J10" s="361" t="str">
        <f t="shared" si="3"/>
        <v/>
      </c>
      <c r="K10" s="200">
        <v>7</v>
      </c>
      <c r="L10" s="133">
        <f t="shared" si="4"/>
        <v>0</v>
      </c>
      <c r="M10" s="135" t="s">
        <v>5</v>
      </c>
      <c r="N10" s="259">
        <f>IF(O10+AA10&lt;&gt;G48,1,0)</f>
        <v>0</v>
      </c>
      <c r="O10" s="1230">
        <f>SUM(O5:Z8)</f>
        <v>0</v>
      </c>
      <c r="P10" s="1231"/>
      <c r="Q10" s="1231"/>
      <c r="R10" s="1231"/>
      <c r="S10" s="1231"/>
      <c r="T10" s="1231"/>
      <c r="U10" s="1231"/>
      <c r="V10" s="1231"/>
      <c r="W10" s="1231"/>
      <c r="X10" s="1231"/>
      <c r="Y10" s="1231"/>
      <c r="Z10" s="1232"/>
      <c r="AA10" s="292">
        <f>+G48-AA7-AA6-AA5-AA8</f>
        <v>0</v>
      </c>
      <c r="AB10" s="293" t="s">
        <v>205</v>
      </c>
    </row>
    <row r="11" spans="1:28" ht="13.35" customHeight="1">
      <c r="A11" s="50" t="s">
        <v>5</v>
      </c>
      <c r="B11" s="141"/>
      <c r="C11" s="80"/>
      <c r="D11" s="93"/>
      <c r="E11" s="226"/>
      <c r="F11" s="89"/>
      <c r="G11" s="81"/>
      <c r="H11" s="82"/>
      <c r="I11" s="83" t="str">
        <f t="shared" si="2"/>
        <v/>
      </c>
      <c r="J11" s="361" t="str">
        <f t="shared" si="3"/>
        <v/>
      </c>
      <c r="K11" s="200">
        <v>8</v>
      </c>
      <c r="L11" s="133">
        <f t="shared" si="4"/>
        <v>0</v>
      </c>
      <c r="M11" s="135" t="s">
        <v>5</v>
      </c>
      <c r="O11" s="1219" t="str">
        <f>IF(N4&gt;0,"Fehler!","")</f>
        <v/>
      </c>
      <c r="P11" s="1219"/>
      <c r="Q11" s="1219"/>
      <c r="R11" s="1219"/>
      <c r="S11" s="1219"/>
      <c r="T11" s="1219"/>
      <c r="U11" s="1219"/>
      <c r="V11" s="1219"/>
      <c r="W11" s="1219"/>
      <c r="X11" s="1219"/>
      <c r="Y11" s="1219"/>
      <c r="Z11" s="1219"/>
    </row>
    <row r="12" spans="1:28" ht="13.35" customHeight="1">
      <c r="A12" s="50" t="s">
        <v>5</v>
      </c>
      <c r="B12" s="141"/>
      <c r="C12" s="80"/>
      <c r="D12" s="93"/>
      <c r="E12" s="226"/>
      <c r="F12" s="89"/>
      <c r="G12" s="81"/>
      <c r="H12" s="82"/>
      <c r="I12" s="83" t="str">
        <f t="shared" si="2"/>
        <v/>
      </c>
      <c r="J12" s="361" t="str">
        <f t="shared" si="3"/>
        <v/>
      </c>
      <c r="K12" s="200">
        <v>9</v>
      </c>
      <c r="L12" s="133">
        <f t="shared" si="4"/>
        <v>0</v>
      </c>
      <c r="M12" s="135" t="s">
        <v>5</v>
      </c>
      <c r="O12" s="203" t="s">
        <v>36</v>
      </c>
      <c r="P12" s="203" t="s">
        <v>37</v>
      </c>
      <c r="Q12" s="203" t="s">
        <v>38</v>
      </c>
      <c r="R12" s="203" t="s">
        <v>39</v>
      </c>
      <c r="S12" s="203" t="s">
        <v>40</v>
      </c>
      <c r="T12" s="203" t="s">
        <v>41</v>
      </c>
      <c r="U12" s="203" t="s">
        <v>42</v>
      </c>
      <c r="V12" s="203" t="s">
        <v>43</v>
      </c>
      <c r="W12" s="203" t="s">
        <v>44</v>
      </c>
      <c r="X12" s="203" t="s">
        <v>45</v>
      </c>
      <c r="Y12" s="203" t="s">
        <v>46</v>
      </c>
      <c r="Z12" s="203" t="s">
        <v>47</v>
      </c>
      <c r="AA12" s="221">
        <f>IF(O14+AA13&lt;&gt;H48,1,0)</f>
        <v>0</v>
      </c>
    </row>
    <row r="13" spans="1:28" ht="13.35" customHeight="1">
      <c r="A13" s="50" t="s">
        <v>5</v>
      </c>
      <c r="B13" s="141"/>
      <c r="C13" s="80"/>
      <c r="D13" s="93"/>
      <c r="E13" s="226"/>
      <c r="F13" s="89"/>
      <c r="G13" s="81"/>
      <c r="H13" s="82"/>
      <c r="I13" s="83" t="str">
        <f t="shared" si="2"/>
        <v/>
      </c>
      <c r="J13" s="361" t="str">
        <f t="shared" si="3"/>
        <v/>
      </c>
      <c r="K13" s="200">
        <v>10</v>
      </c>
      <c r="L13" s="133">
        <f t="shared" si="4"/>
        <v>0</v>
      </c>
      <c r="M13" s="135" t="s">
        <v>5</v>
      </c>
      <c r="O13" s="187">
        <f>SUMIF($L$3:$L$47,1,$I$3:$I$47)</f>
        <v>0</v>
      </c>
      <c r="P13" s="187">
        <f>SUMIF($L$3:$L$47,2,$I$3:$I$47)</f>
        <v>0</v>
      </c>
      <c r="Q13" s="187">
        <f>SUMIF($L$3:$L$47,3,$I$3:$I$47)</f>
        <v>0</v>
      </c>
      <c r="R13" s="187">
        <f>SUMIF($L$3:$L$47,4,$I$3:$I$47)</f>
        <v>0</v>
      </c>
      <c r="S13" s="187">
        <f>SUMIF($L$3:$L$47,5,$I$3:$I$47)</f>
        <v>0</v>
      </c>
      <c r="T13" s="187">
        <f>SUMIF($L$3:$L$47,6,$I$3:$I$47)</f>
        <v>0</v>
      </c>
      <c r="U13" s="187">
        <f>SUMIF($L$3:$L$47,7,$I$3:$I$47)</f>
        <v>0</v>
      </c>
      <c r="V13" s="187">
        <f>SUMIF($L$3:$L$47,8,$I$3:$I$47)</f>
        <v>0</v>
      </c>
      <c r="W13" s="187">
        <f>SUMIF($L$3:$L$47,9,$I$3:$I$47)</f>
        <v>0</v>
      </c>
      <c r="X13" s="187">
        <f>SUMIF($L$3:$L$47,10,$I$3:$I$47)</f>
        <v>0</v>
      </c>
      <c r="Y13" s="187">
        <f>SUMIF($L$3:$L$47,11,$I$3:$I$47)</f>
        <v>0</v>
      </c>
      <c r="Z13" s="187">
        <f>SUMIF($L$3:$L$47,12,$I$3:$I$47)</f>
        <v>0</v>
      </c>
      <c r="AA13" s="1220">
        <f>SUMIF($L$3:$L$47,0,$I$3:$I$47)</f>
        <v>0</v>
      </c>
      <c r="AB13" s="1221"/>
    </row>
    <row r="14" spans="1:28" ht="13.35" customHeight="1">
      <c r="A14" s="50" t="s">
        <v>5</v>
      </c>
      <c r="B14" s="141"/>
      <c r="C14" s="80"/>
      <c r="D14" s="93"/>
      <c r="E14" s="226"/>
      <c r="F14" s="89"/>
      <c r="G14" s="81"/>
      <c r="H14" s="82"/>
      <c r="I14" s="83" t="str">
        <f t="shared" si="2"/>
        <v/>
      </c>
      <c r="J14" s="361" t="str">
        <f t="shared" si="3"/>
        <v/>
      </c>
      <c r="K14" s="200">
        <v>11</v>
      </c>
      <c r="L14" s="133">
        <f t="shared" si="4"/>
        <v>0</v>
      </c>
      <c r="M14" s="135" t="s">
        <v>5</v>
      </c>
      <c r="O14" s="1299">
        <f>SUM(O13:Z13)</f>
        <v>0</v>
      </c>
      <c r="P14" s="1300"/>
      <c r="Q14" s="1300"/>
      <c r="R14" s="1300"/>
      <c r="S14" s="1300"/>
      <c r="T14" s="1300"/>
      <c r="U14" s="1300"/>
      <c r="V14" s="1300"/>
      <c r="W14" s="1300"/>
      <c r="X14" s="1300"/>
      <c r="Y14" s="1300"/>
      <c r="Z14" s="1301"/>
      <c r="AA14" s="1222">
        <f>SUM(O13:Z13)+AA13</f>
        <v>0</v>
      </c>
      <c r="AB14" s="1223"/>
    </row>
    <row r="15" spans="1:28" ht="13.35" customHeight="1">
      <c r="A15" s="50" t="s">
        <v>5</v>
      </c>
      <c r="B15" s="141"/>
      <c r="C15" s="260"/>
      <c r="D15" s="93"/>
      <c r="E15" s="226"/>
      <c r="F15" s="89"/>
      <c r="G15" s="81"/>
      <c r="H15" s="82"/>
      <c r="I15" s="83" t="str">
        <f t="shared" si="2"/>
        <v/>
      </c>
      <c r="J15" s="361" t="str">
        <f t="shared" si="3"/>
        <v/>
      </c>
      <c r="K15" s="200">
        <v>12</v>
      </c>
      <c r="L15" s="133">
        <f t="shared" si="4"/>
        <v>0</v>
      </c>
      <c r="M15" s="135" t="s">
        <v>5</v>
      </c>
      <c r="O15" s="244"/>
      <c r="P15" s="244"/>
      <c r="Q15" s="244"/>
      <c r="R15" s="244"/>
      <c r="S15" s="244"/>
      <c r="T15" s="244"/>
      <c r="U15" s="244"/>
      <c r="V15" s="244"/>
      <c r="W15" s="244"/>
      <c r="X15" s="244"/>
      <c r="Y15" s="244"/>
      <c r="Z15" s="244"/>
      <c r="AA15" s="244"/>
      <c r="AB15" s="244"/>
    </row>
    <row r="16" spans="1:28" ht="13.35" customHeight="1">
      <c r="A16" s="50" t="s">
        <v>5</v>
      </c>
      <c r="B16" s="141"/>
      <c r="C16" s="80"/>
      <c r="D16" s="93"/>
      <c r="E16" s="226"/>
      <c r="F16" s="89"/>
      <c r="G16" s="81"/>
      <c r="H16" s="82"/>
      <c r="I16" s="83" t="str">
        <f t="shared" si="2"/>
        <v/>
      </c>
      <c r="J16" s="361" t="str">
        <f t="shared" si="3"/>
        <v/>
      </c>
      <c r="K16" s="200">
        <v>13</v>
      </c>
      <c r="L16" s="133">
        <f t="shared" si="4"/>
        <v>0</v>
      </c>
      <c r="M16" s="135" t="s">
        <v>5</v>
      </c>
      <c r="O16" s="244"/>
      <c r="P16" s="244"/>
      <c r="Q16" s="244"/>
      <c r="R16" s="244"/>
      <c r="S16" s="244"/>
      <c r="T16" s="244"/>
      <c r="U16" s="244"/>
      <c r="V16" s="244"/>
      <c r="W16" s="244"/>
      <c r="X16" s="244"/>
      <c r="Y16" s="244"/>
      <c r="Z16" s="244"/>
      <c r="AA16" s="244"/>
      <c r="AB16" s="244"/>
    </row>
    <row r="17" spans="1:28" ht="13.35" customHeight="1">
      <c r="A17" s="50" t="s">
        <v>5</v>
      </c>
      <c r="B17" s="141"/>
      <c r="C17" s="80"/>
      <c r="D17" s="93"/>
      <c r="E17" s="226"/>
      <c r="F17" s="89"/>
      <c r="G17" s="81"/>
      <c r="H17" s="82"/>
      <c r="I17" s="83" t="str">
        <f t="shared" si="2"/>
        <v/>
      </c>
      <c r="J17" s="361" t="str">
        <f t="shared" si="3"/>
        <v/>
      </c>
      <c r="K17" s="200">
        <v>14</v>
      </c>
      <c r="L17" s="133">
        <f t="shared" si="4"/>
        <v>0</v>
      </c>
      <c r="M17" s="135" t="s">
        <v>5</v>
      </c>
      <c r="O17" s="244"/>
      <c r="P17" s="244"/>
      <c r="Q17" s="244"/>
      <c r="R17" s="244"/>
      <c r="S17" s="244"/>
      <c r="T17" s="244"/>
      <c r="U17" s="244"/>
      <c r="V17" s="244"/>
      <c r="W17" s="244"/>
      <c r="X17" s="244"/>
      <c r="Y17" s="244"/>
      <c r="Z17" s="244"/>
      <c r="AA17" s="244"/>
      <c r="AB17" s="244"/>
    </row>
    <row r="18" spans="1:28" ht="13.35" customHeight="1">
      <c r="A18" s="50" t="s">
        <v>5</v>
      </c>
      <c r="B18" s="141"/>
      <c r="C18" s="80"/>
      <c r="D18" s="93"/>
      <c r="E18" s="226"/>
      <c r="F18" s="89"/>
      <c r="G18" s="81"/>
      <c r="H18" s="82"/>
      <c r="I18" s="83" t="str">
        <f t="shared" si="2"/>
        <v/>
      </c>
      <c r="J18" s="361" t="str">
        <f t="shared" si="3"/>
        <v/>
      </c>
      <c r="K18" s="200">
        <v>15</v>
      </c>
      <c r="L18" s="133">
        <f t="shared" si="4"/>
        <v>0</v>
      </c>
      <c r="M18" s="135" t="s">
        <v>5</v>
      </c>
      <c r="O18" s="244"/>
      <c r="P18" s="244"/>
      <c r="Q18" s="244"/>
      <c r="R18" s="244"/>
      <c r="S18" s="244"/>
      <c r="T18" s="244"/>
      <c r="U18" s="244"/>
      <c r="V18" s="244"/>
      <c r="W18" s="244"/>
      <c r="X18" s="244"/>
      <c r="Y18" s="244"/>
      <c r="Z18" s="244"/>
      <c r="AA18" s="244"/>
      <c r="AB18" s="244"/>
    </row>
    <row r="19" spans="1:28" ht="13.35" customHeight="1">
      <c r="A19" s="50" t="s">
        <v>5</v>
      </c>
      <c r="B19" s="141"/>
      <c r="C19" s="80"/>
      <c r="D19" s="93"/>
      <c r="E19" s="226"/>
      <c r="F19" s="89"/>
      <c r="G19" s="81"/>
      <c r="H19" s="82"/>
      <c r="I19" s="83" t="str">
        <f t="shared" si="2"/>
        <v/>
      </c>
      <c r="J19" s="361" t="str">
        <f t="shared" si="3"/>
        <v/>
      </c>
      <c r="K19" s="200">
        <v>16</v>
      </c>
      <c r="L19" s="133">
        <f t="shared" si="4"/>
        <v>0</v>
      </c>
      <c r="M19" s="135" t="s">
        <v>5</v>
      </c>
      <c r="O19" s="244"/>
      <c r="P19" s="244"/>
      <c r="Q19" s="244"/>
      <c r="R19" s="244"/>
      <c r="S19" s="244"/>
      <c r="T19" s="244"/>
      <c r="U19" s="244"/>
      <c r="V19" s="244"/>
      <c r="W19" s="244"/>
      <c r="X19" s="244"/>
      <c r="Y19" s="244"/>
      <c r="Z19" s="244"/>
      <c r="AA19" s="244"/>
      <c r="AB19" s="244"/>
    </row>
    <row r="20" spans="1:28" ht="13.35" customHeight="1">
      <c r="A20" s="50" t="s">
        <v>5</v>
      </c>
      <c r="B20" s="141"/>
      <c r="C20" s="80"/>
      <c r="D20" s="93"/>
      <c r="E20" s="226"/>
      <c r="F20" s="89"/>
      <c r="G20" s="81"/>
      <c r="H20" s="82"/>
      <c r="I20" s="83" t="str">
        <f t="shared" si="2"/>
        <v/>
      </c>
      <c r="J20" s="361" t="str">
        <f t="shared" si="3"/>
        <v/>
      </c>
      <c r="K20" s="200">
        <v>17</v>
      </c>
      <c r="L20" s="133">
        <f t="shared" si="4"/>
        <v>0</v>
      </c>
      <c r="M20" s="135" t="s">
        <v>5</v>
      </c>
      <c r="O20" s="244"/>
      <c r="P20" s="244"/>
      <c r="Q20" s="244"/>
      <c r="R20" s="244"/>
      <c r="S20" s="244"/>
      <c r="T20" s="244"/>
      <c r="U20" s="244"/>
      <c r="V20" s="244"/>
      <c r="W20" s="244"/>
      <c r="X20" s="244"/>
      <c r="Y20" s="244"/>
      <c r="Z20" s="244"/>
      <c r="AA20" s="244"/>
      <c r="AB20" s="244"/>
    </row>
    <row r="21" spans="1:28" ht="13.35" customHeight="1">
      <c r="A21" s="50" t="s">
        <v>5</v>
      </c>
      <c r="B21" s="141"/>
      <c r="C21" s="80"/>
      <c r="D21" s="93"/>
      <c r="E21" s="226"/>
      <c r="F21" s="89"/>
      <c r="G21" s="81"/>
      <c r="H21" s="82"/>
      <c r="I21" s="83" t="str">
        <f t="shared" si="2"/>
        <v/>
      </c>
      <c r="J21" s="361" t="str">
        <f t="shared" si="3"/>
        <v/>
      </c>
      <c r="K21" s="200">
        <v>18</v>
      </c>
      <c r="L21" s="133">
        <f t="shared" si="4"/>
        <v>0</v>
      </c>
      <c r="M21" s="135" t="s">
        <v>5</v>
      </c>
      <c r="O21" s="244"/>
      <c r="P21" s="244"/>
      <c r="Q21" s="244"/>
      <c r="R21" s="244"/>
      <c r="S21" s="244"/>
      <c r="T21" s="244"/>
      <c r="U21" s="244"/>
      <c r="V21" s="244"/>
      <c r="W21" s="244"/>
      <c r="X21" s="244"/>
      <c r="Y21" s="244"/>
      <c r="Z21" s="244"/>
      <c r="AA21" s="244"/>
      <c r="AB21" s="244"/>
    </row>
    <row r="22" spans="1:28" ht="13.35" customHeight="1">
      <c r="A22" s="50" t="s">
        <v>5</v>
      </c>
      <c r="B22" s="141"/>
      <c r="C22" s="80"/>
      <c r="D22" s="93"/>
      <c r="E22" s="226"/>
      <c r="F22" s="89"/>
      <c r="G22" s="81"/>
      <c r="H22" s="82"/>
      <c r="I22" s="83" t="str">
        <f t="shared" si="2"/>
        <v/>
      </c>
      <c r="J22" s="361" t="str">
        <f t="shared" si="3"/>
        <v/>
      </c>
      <c r="K22" s="200">
        <v>19</v>
      </c>
      <c r="L22" s="133">
        <f t="shared" si="4"/>
        <v>0</v>
      </c>
      <c r="M22" s="135" t="s">
        <v>5</v>
      </c>
      <c r="O22" s="244"/>
      <c r="P22" s="244"/>
      <c r="Q22" s="244"/>
      <c r="R22" s="244"/>
      <c r="S22" s="244"/>
      <c r="T22" s="244"/>
      <c r="U22" s="244"/>
      <c r="V22" s="244"/>
      <c r="W22" s="244"/>
      <c r="X22" s="244"/>
      <c r="Y22" s="244"/>
      <c r="Z22" s="244"/>
      <c r="AA22" s="244"/>
      <c r="AB22" s="244"/>
    </row>
    <row r="23" spans="1:28" ht="13.35" customHeight="1">
      <c r="A23" s="50" t="s">
        <v>5</v>
      </c>
      <c r="B23" s="141"/>
      <c r="C23" s="80"/>
      <c r="D23" s="94"/>
      <c r="E23" s="226"/>
      <c r="F23" s="89"/>
      <c r="G23" s="81"/>
      <c r="H23" s="82"/>
      <c r="I23" s="83" t="str">
        <f t="shared" si="2"/>
        <v/>
      </c>
      <c r="J23" s="361" t="str">
        <f t="shared" si="3"/>
        <v/>
      </c>
      <c r="K23" s="200">
        <v>20</v>
      </c>
      <c r="L23" s="133">
        <f t="shared" si="4"/>
        <v>0</v>
      </c>
      <c r="M23" s="135" t="s">
        <v>5</v>
      </c>
      <c r="O23" s="244"/>
      <c r="P23" s="244"/>
      <c r="Q23" s="244"/>
      <c r="R23" s="244"/>
      <c r="S23" s="244"/>
      <c r="T23" s="244"/>
      <c r="U23" s="244"/>
      <c r="V23" s="244"/>
      <c r="W23" s="244"/>
      <c r="X23" s="244"/>
      <c r="Y23" s="244"/>
      <c r="Z23" s="244"/>
      <c r="AA23" s="244"/>
      <c r="AB23" s="244"/>
    </row>
    <row r="24" spans="1:28" ht="13.35" customHeight="1">
      <c r="A24" s="50" t="s">
        <v>5</v>
      </c>
      <c r="B24" s="141"/>
      <c r="C24" s="80"/>
      <c r="D24" s="93"/>
      <c r="E24" s="226"/>
      <c r="F24" s="89"/>
      <c r="G24" s="81"/>
      <c r="H24" s="82"/>
      <c r="I24" s="83" t="str">
        <f t="shared" si="2"/>
        <v/>
      </c>
      <c r="J24" s="361" t="str">
        <f t="shared" si="3"/>
        <v/>
      </c>
      <c r="K24" s="200">
        <v>21</v>
      </c>
      <c r="L24" s="133">
        <f t="shared" si="4"/>
        <v>0</v>
      </c>
      <c r="M24" s="135" t="s">
        <v>5</v>
      </c>
      <c r="O24" s="244"/>
      <c r="P24" s="244"/>
      <c r="Q24" s="244"/>
      <c r="R24" s="244"/>
      <c r="S24" s="244"/>
      <c r="T24" s="244"/>
      <c r="U24" s="244"/>
      <c r="V24" s="244"/>
      <c r="W24" s="244"/>
      <c r="X24" s="244"/>
      <c r="Y24" s="244"/>
      <c r="Z24" s="244"/>
      <c r="AA24" s="244"/>
      <c r="AB24" s="244"/>
    </row>
    <row r="25" spans="1:28" ht="13.35" customHeight="1">
      <c r="A25" s="50" t="s">
        <v>5</v>
      </c>
      <c r="B25" s="141"/>
      <c r="C25" s="80"/>
      <c r="D25" s="93"/>
      <c r="E25" s="226"/>
      <c r="F25" s="89"/>
      <c r="G25" s="81"/>
      <c r="H25" s="82"/>
      <c r="I25" s="83" t="str">
        <f t="shared" si="2"/>
        <v/>
      </c>
      <c r="J25" s="361" t="str">
        <f t="shared" si="3"/>
        <v/>
      </c>
      <c r="K25" s="200">
        <v>22</v>
      </c>
      <c r="L25" s="133">
        <f t="shared" si="4"/>
        <v>0</v>
      </c>
      <c r="M25" s="135" t="s">
        <v>5</v>
      </c>
      <c r="O25" s="244"/>
      <c r="P25" s="244"/>
      <c r="Q25" s="244"/>
      <c r="R25" s="244"/>
      <c r="S25" s="244"/>
      <c r="T25" s="244"/>
      <c r="U25" s="244"/>
      <c r="V25" s="244"/>
      <c r="W25" s="244"/>
      <c r="X25" s="244"/>
      <c r="Y25" s="244"/>
      <c r="Z25" s="244"/>
      <c r="AA25" s="244"/>
      <c r="AB25" s="244"/>
    </row>
    <row r="26" spans="1:28" ht="13.35" customHeight="1">
      <c r="A26" s="50" t="s">
        <v>5</v>
      </c>
      <c r="B26" s="141"/>
      <c r="C26" s="80"/>
      <c r="D26" s="93"/>
      <c r="E26" s="226"/>
      <c r="F26" s="89"/>
      <c r="G26" s="81"/>
      <c r="H26" s="82"/>
      <c r="I26" s="83" t="str">
        <f t="shared" si="2"/>
        <v/>
      </c>
      <c r="J26" s="361" t="str">
        <f t="shared" si="3"/>
        <v/>
      </c>
      <c r="K26" s="200">
        <v>23</v>
      </c>
      <c r="L26" s="133">
        <f t="shared" si="4"/>
        <v>0</v>
      </c>
      <c r="M26" s="135" t="s">
        <v>5</v>
      </c>
      <c r="O26" s="244"/>
      <c r="P26" s="244"/>
      <c r="Q26" s="244"/>
      <c r="R26" s="244"/>
      <c r="S26" s="244"/>
      <c r="T26" s="244"/>
      <c r="U26" s="244"/>
      <c r="V26" s="244"/>
      <c r="W26" s="244"/>
      <c r="X26" s="244"/>
      <c r="Y26" s="244"/>
      <c r="Z26" s="244"/>
      <c r="AA26" s="244"/>
      <c r="AB26" s="244"/>
    </row>
    <row r="27" spans="1:28" ht="13.35" customHeight="1">
      <c r="A27" s="50" t="s">
        <v>5</v>
      </c>
      <c r="B27" s="141"/>
      <c r="C27" s="80"/>
      <c r="D27" s="93"/>
      <c r="E27" s="226"/>
      <c r="F27" s="89"/>
      <c r="G27" s="81"/>
      <c r="H27" s="82"/>
      <c r="I27" s="83" t="str">
        <f t="shared" si="2"/>
        <v/>
      </c>
      <c r="J27" s="361" t="str">
        <f t="shared" si="3"/>
        <v/>
      </c>
      <c r="K27" s="200">
        <v>24</v>
      </c>
      <c r="L27" s="133">
        <f t="shared" si="4"/>
        <v>0</v>
      </c>
      <c r="M27" s="135" t="s">
        <v>5</v>
      </c>
      <c r="O27" s="244"/>
      <c r="P27" s="244"/>
      <c r="Q27" s="244"/>
      <c r="R27" s="244"/>
      <c r="S27" s="244"/>
      <c r="T27" s="244"/>
      <c r="U27" s="244"/>
      <c r="V27" s="244"/>
      <c r="W27" s="244"/>
      <c r="X27" s="244"/>
      <c r="Y27" s="244"/>
      <c r="Z27" s="244"/>
      <c r="AA27" s="244"/>
      <c r="AB27" s="244"/>
    </row>
    <row r="28" spans="1:28" ht="13.35" customHeight="1">
      <c r="A28" s="50" t="s">
        <v>5</v>
      </c>
      <c r="B28" s="141"/>
      <c r="C28" s="80"/>
      <c r="D28" s="93"/>
      <c r="E28" s="226"/>
      <c r="F28" s="89"/>
      <c r="G28" s="81"/>
      <c r="H28" s="82"/>
      <c r="I28" s="83" t="str">
        <f t="shared" si="2"/>
        <v/>
      </c>
      <c r="J28" s="361" t="str">
        <f t="shared" si="3"/>
        <v/>
      </c>
      <c r="K28" s="200">
        <v>25</v>
      </c>
      <c r="L28" s="133">
        <f t="shared" si="4"/>
        <v>0</v>
      </c>
      <c r="M28" s="135" t="s">
        <v>5</v>
      </c>
      <c r="O28" s="244"/>
      <c r="P28" s="244"/>
      <c r="Q28" s="244"/>
      <c r="R28" s="244"/>
      <c r="S28" s="244"/>
      <c r="T28" s="244"/>
      <c r="U28" s="244"/>
      <c r="V28" s="244"/>
      <c r="W28" s="244"/>
      <c r="X28" s="244"/>
      <c r="Y28" s="244"/>
      <c r="Z28" s="244"/>
      <c r="AA28" s="244"/>
      <c r="AB28" s="244"/>
    </row>
    <row r="29" spans="1:28" ht="13.35" customHeight="1">
      <c r="A29" s="50" t="s">
        <v>5</v>
      </c>
      <c r="B29" s="141"/>
      <c r="C29" s="80"/>
      <c r="D29" s="93"/>
      <c r="E29" s="226"/>
      <c r="F29" s="89"/>
      <c r="G29" s="81"/>
      <c r="H29" s="82"/>
      <c r="I29" s="83" t="str">
        <f t="shared" si="2"/>
        <v/>
      </c>
      <c r="J29" s="361" t="str">
        <f t="shared" si="3"/>
        <v/>
      </c>
      <c r="K29" s="200">
        <v>26</v>
      </c>
      <c r="L29" s="133">
        <f t="shared" si="4"/>
        <v>0</v>
      </c>
      <c r="M29" s="135" t="s">
        <v>5</v>
      </c>
      <c r="O29" s="244"/>
      <c r="P29" s="244"/>
      <c r="Q29" s="244"/>
      <c r="R29" s="244"/>
      <c r="S29" s="244"/>
      <c r="T29" s="244"/>
      <c r="U29" s="244"/>
      <c r="V29" s="244"/>
      <c r="W29" s="244"/>
      <c r="X29" s="244"/>
      <c r="Y29" s="244"/>
      <c r="Z29" s="244"/>
      <c r="AA29" s="244"/>
      <c r="AB29" s="244"/>
    </row>
    <row r="30" spans="1:28" ht="13.35" customHeight="1">
      <c r="A30" s="50" t="s">
        <v>5</v>
      </c>
      <c r="B30" s="141"/>
      <c r="C30" s="80"/>
      <c r="D30" s="93"/>
      <c r="E30" s="226"/>
      <c r="F30" s="89"/>
      <c r="G30" s="81"/>
      <c r="H30" s="82"/>
      <c r="I30" s="83" t="str">
        <f t="shared" si="2"/>
        <v/>
      </c>
      <c r="J30" s="361" t="str">
        <f t="shared" si="3"/>
        <v/>
      </c>
      <c r="K30" s="200">
        <v>27</v>
      </c>
      <c r="L30" s="133">
        <f t="shared" si="4"/>
        <v>0</v>
      </c>
      <c r="M30" s="135" t="s">
        <v>5</v>
      </c>
      <c r="O30" s="244"/>
      <c r="P30" s="244"/>
      <c r="Q30" s="244"/>
      <c r="R30" s="244"/>
      <c r="S30" s="244"/>
      <c r="T30" s="244"/>
      <c r="U30" s="244"/>
      <c r="V30" s="244"/>
      <c r="W30" s="244"/>
      <c r="X30" s="244"/>
      <c r="Y30" s="244"/>
      <c r="Z30" s="244"/>
      <c r="AA30" s="244"/>
      <c r="AB30" s="244"/>
    </row>
    <row r="31" spans="1:28" ht="13.35" customHeight="1">
      <c r="A31" s="50" t="s">
        <v>5</v>
      </c>
      <c r="B31" s="141"/>
      <c r="C31" s="80"/>
      <c r="D31" s="93"/>
      <c r="E31" s="226"/>
      <c r="F31" s="89"/>
      <c r="G31" s="81"/>
      <c r="H31" s="82"/>
      <c r="I31" s="83" t="str">
        <f t="shared" si="2"/>
        <v/>
      </c>
      <c r="J31" s="361" t="str">
        <f t="shared" si="3"/>
        <v/>
      </c>
      <c r="K31" s="200">
        <v>28</v>
      </c>
      <c r="L31" s="133">
        <f t="shared" si="4"/>
        <v>0</v>
      </c>
      <c r="M31" s="135" t="s">
        <v>5</v>
      </c>
      <c r="O31" s="244"/>
      <c r="P31" s="244"/>
      <c r="Q31" s="244"/>
      <c r="R31" s="244"/>
      <c r="S31" s="244"/>
      <c r="T31" s="244"/>
      <c r="U31" s="244"/>
      <c r="V31" s="244"/>
      <c r="W31" s="244"/>
      <c r="X31" s="244"/>
      <c r="Y31" s="244"/>
      <c r="Z31" s="244"/>
      <c r="AA31" s="244"/>
      <c r="AB31" s="244"/>
    </row>
    <row r="32" spans="1:28" ht="13.35" customHeight="1">
      <c r="A32" s="50" t="s">
        <v>5</v>
      </c>
      <c r="B32" s="141"/>
      <c r="C32" s="80"/>
      <c r="D32" s="93"/>
      <c r="E32" s="226"/>
      <c r="F32" s="89"/>
      <c r="G32" s="81"/>
      <c r="H32" s="82"/>
      <c r="I32" s="83" t="str">
        <f t="shared" si="2"/>
        <v/>
      </c>
      <c r="J32" s="361" t="str">
        <f t="shared" si="3"/>
        <v/>
      </c>
      <c r="K32" s="200">
        <v>29</v>
      </c>
      <c r="L32" s="133">
        <f t="shared" si="4"/>
        <v>0</v>
      </c>
      <c r="M32" s="135" t="s">
        <v>5</v>
      </c>
      <c r="O32" s="244"/>
      <c r="P32" s="244"/>
      <c r="Q32" s="244"/>
      <c r="R32" s="244"/>
      <c r="S32" s="244"/>
      <c r="T32" s="244"/>
      <c r="U32" s="244"/>
      <c r="V32" s="244"/>
      <c r="W32" s="244"/>
      <c r="X32" s="244"/>
      <c r="Y32" s="244"/>
      <c r="Z32" s="244"/>
      <c r="AA32" s="244"/>
      <c r="AB32" s="244"/>
    </row>
    <row r="33" spans="1:28" ht="13.35" customHeight="1">
      <c r="A33" s="50" t="s">
        <v>5</v>
      </c>
      <c r="B33" s="141"/>
      <c r="C33" s="80"/>
      <c r="D33" s="93"/>
      <c r="E33" s="226"/>
      <c r="F33" s="89"/>
      <c r="G33" s="81"/>
      <c r="H33" s="82"/>
      <c r="I33" s="83" t="str">
        <f t="shared" si="2"/>
        <v/>
      </c>
      <c r="J33" s="361" t="str">
        <f t="shared" si="3"/>
        <v/>
      </c>
      <c r="K33" s="200">
        <v>30</v>
      </c>
      <c r="L33" s="133">
        <f t="shared" si="4"/>
        <v>0</v>
      </c>
      <c r="M33" s="135" t="s">
        <v>5</v>
      </c>
      <c r="O33" s="244"/>
      <c r="P33" s="244"/>
      <c r="Q33" s="244"/>
      <c r="R33" s="244"/>
      <c r="S33" s="244"/>
      <c r="T33" s="244"/>
      <c r="U33" s="244"/>
      <c r="V33" s="244"/>
      <c r="W33" s="244"/>
      <c r="X33" s="244"/>
      <c r="Y33" s="244"/>
      <c r="Z33" s="244"/>
      <c r="AA33" s="244"/>
      <c r="AB33" s="244"/>
    </row>
    <row r="34" spans="1:28" ht="13.35" customHeight="1">
      <c r="A34" s="50" t="s">
        <v>5</v>
      </c>
      <c r="B34" s="141"/>
      <c r="C34" s="80"/>
      <c r="D34" s="93"/>
      <c r="E34" s="226"/>
      <c r="F34" s="89"/>
      <c r="G34" s="81"/>
      <c r="H34" s="82"/>
      <c r="I34" s="83" t="str">
        <f t="shared" si="2"/>
        <v/>
      </c>
      <c r="J34" s="361" t="str">
        <f t="shared" si="3"/>
        <v/>
      </c>
      <c r="K34" s="200">
        <v>31</v>
      </c>
      <c r="L34" s="133">
        <f t="shared" si="4"/>
        <v>0</v>
      </c>
      <c r="M34" s="135" t="s">
        <v>5</v>
      </c>
      <c r="O34" s="244"/>
      <c r="P34" s="244"/>
      <c r="Q34" s="244"/>
      <c r="R34" s="244"/>
      <c r="S34" s="244"/>
      <c r="T34" s="244"/>
      <c r="U34" s="244"/>
      <c r="V34" s="244"/>
      <c r="W34" s="244"/>
      <c r="X34" s="244"/>
      <c r="Y34" s="244"/>
      <c r="Z34" s="244"/>
      <c r="AA34" s="244"/>
      <c r="AB34" s="244"/>
    </row>
    <row r="35" spans="1:28" ht="13.35" customHeight="1">
      <c r="A35" s="50" t="s">
        <v>5</v>
      </c>
      <c r="B35" s="141"/>
      <c r="C35" s="80"/>
      <c r="D35" s="93"/>
      <c r="E35" s="226"/>
      <c r="F35" s="89"/>
      <c r="G35" s="81"/>
      <c r="H35" s="82"/>
      <c r="I35" s="83" t="str">
        <f t="shared" si="2"/>
        <v/>
      </c>
      <c r="J35" s="361" t="str">
        <f t="shared" si="3"/>
        <v/>
      </c>
      <c r="K35" s="200">
        <v>32</v>
      </c>
      <c r="L35" s="133">
        <f t="shared" si="4"/>
        <v>0</v>
      </c>
      <c r="M35" s="135" t="s">
        <v>5</v>
      </c>
      <c r="O35" s="244"/>
      <c r="P35" s="244"/>
      <c r="Q35" s="244"/>
      <c r="R35" s="244"/>
      <c r="S35" s="244"/>
      <c r="T35" s="244"/>
      <c r="U35" s="244"/>
      <c r="V35" s="244"/>
      <c r="W35" s="244"/>
      <c r="X35" s="244"/>
      <c r="Y35" s="244"/>
      <c r="Z35" s="244"/>
      <c r="AA35" s="244"/>
      <c r="AB35" s="244"/>
    </row>
    <row r="36" spans="1:28" ht="13.35" customHeight="1">
      <c r="A36" s="50" t="s">
        <v>5</v>
      </c>
      <c r="B36" s="141"/>
      <c r="C36" s="80"/>
      <c r="D36" s="93"/>
      <c r="E36" s="226"/>
      <c r="F36" s="89"/>
      <c r="G36" s="81"/>
      <c r="H36" s="82"/>
      <c r="I36" s="83" t="str">
        <f t="shared" si="2"/>
        <v/>
      </c>
      <c r="J36" s="361" t="str">
        <f t="shared" si="3"/>
        <v/>
      </c>
      <c r="K36" s="200">
        <v>33</v>
      </c>
      <c r="L36" s="133">
        <f t="shared" si="4"/>
        <v>0</v>
      </c>
      <c r="M36" s="135" t="s">
        <v>5</v>
      </c>
      <c r="O36" s="244"/>
      <c r="P36" s="244"/>
      <c r="Q36" s="244"/>
      <c r="R36" s="244"/>
      <c r="S36" s="244"/>
      <c r="T36" s="244"/>
      <c r="U36" s="244"/>
      <c r="V36" s="244"/>
      <c r="W36" s="244"/>
      <c r="X36" s="244"/>
      <c r="Y36" s="244"/>
      <c r="Z36" s="244"/>
      <c r="AA36" s="244"/>
      <c r="AB36" s="244"/>
    </row>
    <row r="37" spans="1:28" ht="13.35" customHeight="1">
      <c r="A37" s="50" t="s">
        <v>5</v>
      </c>
      <c r="B37" s="141"/>
      <c r="C37" s="80"/>
      <c r="D37" s="93"/>
      <c r="E37" s="226"/>
      <c r="F37" s="89"/>
      <c r="G37" s="81"/>
      <c r="H37" s="82"/>
      <c r="I37" s="83" t="str">
        <f t="shared" si="2"/>
        <v/>
      </c>
      <c r="J37" s="361" t="str">
        <f t="shared" si="3"/>
        <v/>
      </c>
      <c r="K37" s="200">
        <v>34</v>
      </c>
      <c r="L37" s="133">
        <f t="shared" si="4"/>
        <v>0</v>
      </c>
      <c r="M37" s="135" t="s">
        <v>5</v>
      </c>
      <c r="O37" s="244"/>
      <c r="P37" s="244"/>
      <c r="Q37" s="244"/>
      <c r="R37" s="244"/>
      <c r="S37" s="244"/>
      <c r="T37" s="244"/>
      <c r="U37" s="244"/>
      <c r="V37" s="244"/>
      <c r="W37" s="244"/>
      <c r="X37" s="244"/>
      <c r="Y37" s="244"/>
      <c r="Z37" s="244"/>
      <c r="AA37" s="244"/>
      <c r="AB37" s="244"/>
    </row>
    <row r="38" spans="1:28" ht="13.35" customHeight="1">
      <c r="A38" s="50" t="s">
        <v>5</v>
      </c>
      <c r="B38" s="141"/>
      <c r="C38" s="80"/>
      <c r="D38" s="93"/>
      <c r="E38" s="226"/>
      <c r="F38" s="89"/>
      <c r="G38" s="81"/>
      <c r="H38" s="82"/>
      <c r="I38" s="83" t="str">
        <f t="shared" si="2"/>
        <v/>
      </c>
      <c r="J38" s="361" t="str">
        <f t="shared" si="3"/>
        <v/>
      </c>
      <c r="K38" s="200">
        <v>35</v>
      </c>
      <c r="L38" s="133">
        <f t="shared" si="4"/>
        <v>0</v>
      </c>
      <c r="M38" s="135" t="s">
        <v>5</v>
      </c>
      <c r="O38" s="244"/>
      <c r="P38" s="244"/>
      <c r="Q38" s="244"/>
      <c r="R38" s="244"/>
      <c r="S38" s="244"/>
      <c r="T38" s="244"/>
      <c r="U38" s="244"/>
      <c r="V38" s="244"/>
      <c r="W38" s="244"/>
      <c r="X38" s="244"/>
      <c r="Y38" s="244"/>
      <c r="Z38" s="244"/>
      <c r="AA38" s="244"/>
      <c r="AB38" s="244"/>
    </row>
    <row r="39" spans="1:28" ht="13.35" customHeight="1">
      <c r="A39" s="50" t="s">
        <v>5</v>
      </c>
      <c r="B39" s="141"/>
      <c r="C39" s="80"/>
      <c r="D39" s="93"/>
      <c r="E39" s="226"/>
      <c r="F39" s="89"/>
      <c r="G39" s="81"/>
      <c r="H39" s="82"/>
      <c r="I39" s="83" t="str">
        <f t="shared" si="2"/>
        <v/>
      </c>
      <c r="J39" s="361" t="str">
        <f t="shared" si="3"/>
        <v/>
      </c>
      <c r="K39" s="200">
        <v>36</v>
      </c>
      <c r="L39" s="133">
        <f t="shared" si="4"/>
        <v>0</v>
      </c>
      <c r="M39" s="135" t="s">
        <v>5</v>
      </c>
      <c r="O39" s="244"/>
      <c r="P39" s="244"/>
      <c r="Q39" s="244"/>
      <c r="R39" s="244"/>
      <c r="S39" s="244"/>
      <c r="T39" s="244"/>
      <c r="U39" s="244"/>
      <c r="V39" s="244"/>
      <c r="W39" s="244"/>
      <c r="X39" s="244"/>
      <c r="Y39" s="244"/>
      <c r="Z39" s="244"/>
      <c r="AA39" s="244"/>
      <c r="AB39" s="244"/>
    </row>
    <row r="40" spans="1:28" ht="13.35" customHeight="1">
      <c r="A40" s="50" t="s">
        <v>5</v>
      </c>
      <c r="B40" s="141"/>
      <c r="C40" s="80"/>
      <c r="D40" s="93"/>
      <c r="E40" s="226"/>
      <c r="F40" s="89"/>
      <c r="G40" s="81"/>
      <c r="H40" s="82"/>
      <c r="I40" s="83" t="str">
        <f t="shared" si="2"/>
        <v/>
      </c>
      <c r="J40" s="361" t="str">
        <f t="shared" si="3"/>
        <v/>
      </c>
      <c r="K40" s="200">
        <v>37</v>
      </c>
      <c r="L40" s="133">
        <f t="shared" si="4"/>
        <v>0</v>
      </c>
      <c r="M40" s="135" t="s">
        <v>5</v>
      </c>
      <c r="O40" s="244"/>
      <c r="P40" s="244"/>
      <c r="Q40" s="244"/>
      <c r="R40" s="244"/>
      <c r="S40" s="244"/>
      <c r="T40" s="244"/>
      <c r="U40" s="244"/>
      <c r="V40" s="244"/>
      <c r="W40" s="244"/>
      <c r="X40" s="244"/>
      <c r="Y40" s="244"/>
      <c r="Z40" s="244"/>
      <c r="AA40" s="244"/>
      <c r="AB40" s="244"/>
    </row>
    <row r="41" spans="1:28" ht="13.35" customHeight="1">
      <c r="A41" s="50" t="s">
        <v>5</v>
      </c>
      <c r="B41" s="141"/>
      <c r="C41" s="80"/>
      <c r="D41" s="93"/>
      <c r="E41" s="226"/>
      <c r="F41" s="89"/>
      <c r="G41" s="81"/>
      <c r="H41" s="82"/>
      <c r="I41" s="83" t="str">
        <f t="shared" si="2"/>
        <v/>
      </c>
      <c r="J41" s="361" t="str">
        <f t="shared" si="3"/>
        <v/>
      </c>
      <c r="K41" s="200">
        <v>38</v>
      </c>
      <c r="L41" s="133">
        <f t="shared" si="4"/>
        <v>0</v>
      </c>
      <c r="M41" s="135" t="s">
        <v>5</v>
      </c>
      <c r="O41" s="244"/>
      <c r="P41" s="244"/>
      <c r="Q41" s="244"/>
      <c r="R41" s="244"/>
      <c r="S41" s="244"/>
      <c r="T41" s="244"/>
      <c r="U41" s="244"/>
      <c r="V41" s="244"/>
      <c r="W41" s="244"/>
      <c r="X41" s="244"/>
      <c r="Y41" s="244"/>
      <c r="Z41" s="244"/>
      <c r="AA41" s="244"/>
      <c r="AB41" s="244"/>
    </row>
    <row r="42" spans="1:28" ht="13.35" customHeight="1">
      <c r="A42" s="50" t="s">
        <v>5</v>
      </c>
      <c r="B42" s="141"/>
      <c r="C42" s="80"/>
      <c r="D42" s="93"/>
      <c r="E42" s="226"/>
      <c r="F42" s="89"/>
      <c r="G42" s="81"/>
      <c r="H42" s="82"/>
      <c r="I42" s="83" t="str">
        <f t="shared" si="2"/>
        <v/>
      </c>
      <c r="J42" s="361" t="str">
        <f t="shared" si="3"/>
        <v/>
      </c>
      <c r="K42" s="200">
        <v>39</v>
      </c>
      <c r="L42" s="133">
        <f t="shared" si="4"/>
        <v>0</v>
      </c>
      <c r="M42" s="135" t="s">
        <v>5</v>
      </c>
      <c r="O42" s="244"/>
      <c r="P42" s="244"/>
      <c r="Q42" s="244"/>
      <c r="R42" s="244"/>
      <c r="S42" s="244"/>
      <c r="T42" s="244"/>
      <c r="U42" s="244"/>
      <c r="V42" s="244"/>
      <c r="W42" s="244"/>
      <c r="X42" s="244"/>
      <c r="Y42" s="244"/>
      <c r="Z42" s="244"/>
      <c r="AA42" s="244"/>
      <c r="AB42" s="244"/>
    </row>
    <row r="43" spans="1:28" ht="13.35" customHeight="1">
      <c r="A43" s="50" t="s">
        <v>5</v>
      </c>
      <c r="B43" s="141"/>
      <c r="C43" s="80"/>
      <c r="D43" s="93"/>
      <c r="E43" s="226"/>
      <c r="F43" s="89"/>
      <c r="G43" s="81"/>
      <c r="H43" s="82"/>
      <c r="I43" s="83" t="str">
        <f t="shared" si="2"/>
        <v/>
      </c>
      <c r="J43" s="361" t="str">
        <f t="shared" si="3"/>
        <v/>
      </c>
      <c r="K43" s="200">
        <v>40</v>
      </c>
      <c r="L43" s="133">
        <f t="shared" si="4"/>
        <v>0</v>
      </c>
      <c r="M43" s="135" t="s">
        <v>5</v>
      </c>
      <c r="O43" s="244"/>
      <c r="P43" s="244"/>
      <c r="Q43" s="244"/>
      <c r="R43" s="244"/>
      <c r="S43" s="244"/>
      <c r="T43" s="244"/>
      <c r="U43" s="244"/>
      <c r="V43" s="244"/>
      <c r="W43" s="244"/>
      <c r="X43" s="244"/>
      <c r="Y43" s="244"/>
      <c r="Z43" s="244"/>
      <c r="AA43" s="244"/>
      <c r="AB43" s="244"/>
    </row>
    <row r="44" spans="1:28" ht="13.35" customHeight="1">
      <c r="A44" s="50" t="s">
        <v>5</v>
      </c>
      <c r="B44" s="141"/>
      <c r="C44" s="80"/>
      <c r="D44" s="93"/>
      <c r="E44" s="226"/>
      <c r="F44" s="89"/>
      <c r="G44" s="81"/>
      <c r="H44" s="82"/>
      <c r="I44" s="83" t="str">
        <f t="shared" si="2"/>
        <v/>
      </c>
      <c r="J44" s="361" t="str">
        <f t="shared" si="3"/>
        <v/>
      </c>
      <c r="K44" s="200">
        <v>41</v>
      </c>
      <c r="L44" s="133">
        <f t="shared" si="4"/>
        <v>0</v>
      </c>
      <c r="M44" s="135" t="s">
        <v>5</v>
      </c>
      <c r="O44" s="244"/>
      <c r="P44" s="244"/>
      <c r="Q44" s="244"/>
      <c r="R44" s="244"/>
      <c r="S44" s="244"/>
      <c r="T44" s="244"/>
      <c r="U44" s="244"/>
      <c r="V44" s="244"/>
      <c r="W44" s="244"/>
      <c r="X44" s="244"/>
      <c r="Y44" s="244"/>
      <c r="Z44" s="244"/>
      <c r="AA44" s="244"/>
      <c r="AB44" s="244"/>
    </row>
    <row r="45" spans="1:28" ht="13.35" customHeight="1">
      <c r="A45" s="50" t="s">
        <v>5</v>
      </c>
      <c r="B45" s="141"/>
      <c r="C45" s="80"/>
      <c r="D45" s="93"/>
      <c r="E45" s="226"/>
      <c r="F45" s="89"/>
      <c r="G45" s="81"/>
      <c r="H45" s="82"/>
      <c r="I45" s="83" t="str">
        <f t="shared" ref="I45:I46" si="7">IF(G45&lt;&gt;"",+G45-G45/(1+H45/100),"")</f>
        <v/>
      </c>
      <c r="J45" s="361" t="str">
        <f t="shared" ref="J45:J46" si="8">IF(G45&lt;&gt;0,+G45-I45,"")</f>
        <v/>
      </c>
      <c r="K45" s="200">
        <v>44</v>
      </c>
      <c r="L45" s="133">
        <f t="shared" ref="L45:L46" si="9">IF(B45&lt;$O$2,0,IF(B45&lt;$P$2,1,IF(B45&lt;$Q$2,2,IF(B45&lt;$R$2,3,IF(B45&lt;$S$2,4,IF(B45&lt;$T$2,5,IF(B45&lt;$U$2,6,IF(B45&lt;$V$2,7,IF(B45&lt;$W$2,8,IF(B45&lt;$X$2,9,IF(B45&lt;$Y$2,10,IF(B45&lt;$Z$2,11,IF(B45&lt;=$Z$3,12,0)))))))))))))</f>
        <v>0</v>
      </c>
      <c r="M45" s="135" t="s">
        <v>5</v>
      </c>
      <c r="O45" s="244"/>
      <c r="P45" s="244"/>
      <c r="Q45" s="244"/>
      <c r="R45" s="244"/>
      <c r="S45" s="244"/>
      <c r="T45" s="244"/>
      <c r="U45" s="244"/>
      <c r="V45" s="244"/>
      <c r="W45" s="244"/>
      <c r="X45" s="244"/>
      <c r="Y45" s="244"/>
      <c r="Z45" s="244"/>
      <c r="AA45" s="244"/>
      <c r="AB45" s="244"/>
    </row>
    <row r="46" spans="1:28" ht="13.35" customHeight="1" thickBot="1">
      <c r="A46" s="50" t="s">
        <v>5</v>
      </c>
      <c r="B46" s="141"/>
      <c r="C46" s="80"/>
      <c r="D46" s="93"/>
      <c r="E46" s="226"/>
      <c r="F46" s="89"/>
      <c r="G46" s="81"/>
      <c r="H46" s="82"/>
      <c r="I46" s="83" t="str">
        <f t="shared" si="7"/>
        <v/>
      </c>
      <c r="J46" s="361" t="str">
        <f t="shared" si="8"/>
        <v/>
      </c>
      <c r="K46" s="200">
        <v>45</v>
      </c>
      <c r="L46" s="133">
        <f t="shared" si="9"/>
        <v>0</v>
      </c>
      <c r="M46" s="135" t="s">
        <v>5</v>
      </c>
      <c r="O46" s="244"/>
      <c r="P46" s="244"/>
      <c r="Q46" s="244"/>
      <c r="R46" s="244"/>
      <c r="S46" s="244"/>
      <c r="T46" s="244"/>
      <c r="U46" s="244"/>
      <c r="V46" s="244"/>
      <c r="W46" s="244"/>
      <c r="X46" s="244"/>
      <c r="Y46" s="244"/>
      <c r="Z46" s="244"/>
      <c r="AA46" s="244"/>
      <c r="AB46" s="244"/>
    </row>
    <row r="47" spans="1:28" ht="12" customHeight="1" thickTop="1" thickBot="1">
      <c r="A47" s="391" t="s">
        <v>283</v>
      </c>
      <c r="B47" s="1244" t="str">
        <f>IF($A$48=0,"^ Zeile einfügen","bis hierher ziehen!")</f>
        <v>^ Zeile einfügen</v>
      </c>
      <c r="C47" s="1244"/>
      <c r="D47" s="392" t="s">
        <v>5</v>
      </c>
      <c r="E47" s="393" t="s">
        <v>5</v>
      </c>
      <c r="F47" s="394" t="s">
        <v>5</v>
      </c>
      <c r="G47" s="394"/>
      <c r="H47" s="395"/>
      <c r="I47" s="396"/>
      <c r="J47" s="425"/>
      <c r="K47" s="201">
        <v>0</v>
      </c>
      <c r="L47" s="185" t="s">
        <v>5</v>
      </c>
      <c r="M47" s="398" t="s">
        <v>283</v>
      </c>
    </row>
    <row r="48" spans="1:28" ht="12" customHeight="1" thickTop="1" thickBot="1">
      <c r="A48" s="390">
        <f>COUNTBLANK(A3:A47)+A49</f>
        <v>0</v>
      </c>
      <c r="B48" s="193" t="str">
        <f>+EÜR!C32</f>
        <v>ü</v>
      </c>
      <c r="C48" s="194" t="s">
        <v>5</v>
      </c>
      <c r="D48" s="194" t="s">
        <v>5</v>
      </c>
      <c r="E48" s="195" t="s">
        <v>5</v>
      </c>
      <c r="F48" s="196" t="s">
        <v>5</v>
      </c>
      <c r="G48" s="197">
        <f>SUBTOTAL(9,G3:G47)</f>
        <v>0</v>
      </c>
      <c r="H48" s="1242">
        <f>SUBTOTAL(9,I3:I47)</f>
        <v>0</v>
      </c>
      <c r="I48" s="1243">
        <f>SUBTOTAL(9,I3:I47)</f>
        <v>0</v>
      </c>
      <c r="J48" s="1293">
        <f>G48-H48</f>
        <v>0</v>
      </c>
      <c r="K48" s="1294"/>
      <c r="L48" s="1295"/>
      <c r="M48" s="135" t="s">
        <v>5</v>
      </c>
    </row>
    <row r="49" spans="1:14" ht="12" customHeight="1" thickTop="1" thickBot="1">
      <c r="A49" s="390">
        <f>IF(ISERROR(J47),1,0)</f>
        <v>0</v>
      </c>
      <c r="B49" s="192">
        <f>J48-G49-E49-C49</f>
        <v>0</v>
      </c>
      <c r="C49" s="1239">
        <f>SUMIF(F4:F47,"Kreditkarte",G4:G47)</f>
        <v>0</v>
      </c>
      <c r="D49" s="1239"/>
      <c r="E49" s="1240">
        <f>SUMIF(F4:F47,"Konto",G4:G47)</f>
        <v>0</v>
      </c>
      <c r="F49" s="1240"/>
      <c r="G49" s="1241">
        <f>SUMIF(F4:F47,"Geldbeutel",G4:G47)</f>
        <v>0</v>
      </c>
      <c r="H49" s="1241"/>
      <c r="I49" s="1241"/>
      <c r="J49" s="1296"/>
      <c r="K49" s="1297"/>
      <c r="L49" s="1298"/>
      <c r="M49" s="135" t="s">
        <v>5</v>
      </c>
    </row>
    <row r="50" spans="1:14" s="15" customFormat="1" ht="5.25" customHeight="1" thickTop="1">
      <c r="A50" s="36"/>
      <c r="B50" s="2"/>
      <c r="C50" s="3"/>
      <c r="D50" s="3"/>
      <c r="E50" s="1"/>
      <c r="G50" s="16"/>
      <c r="H50" s="16"/>
      <c r="I50" s="17"/>
      <c r="J50" s="18"/>
      <c r="K50" s="18"/>
      <c r="L50" s="31"/>
      <c r="N50" s="148"/>
    </row>
    <row r="51" spans="1:14">
      <c r="A51" s="36"/>
    </row>
  </sheetData>
  <sheetProtection formatCells="0" insertRows="0" deleteRows="0" selectLockedCells="1" sort="0" autoFilter="0"/>
  <mergeCells count="15">
    <mergeCell ref="C2:I2"/>
    <mergeCell ref="J2:L2"/>
    <mergeCell ref="AA9:AB9"/>
    <mergeCell ref="O10:Z10"/>
    <mergeCell ref="O11:Z11"/>
    <mergeCell ref="AA4:AB4"/>
    <mergeCell ref="AA13:AB13"/>
    <mergeCell ref="O14:Z14"/>
    <mergeCell ref="AA14:AB14"/>
    <mergeCell ref="J48:L49"/>
    <mergeCell ref="C49:D49"/>
    <mergeCell ref="E49:F49"/>
    <mergeCell ref="G49:I49"/>
    <mergeCell ref="H48:I48"/>
    <mergeCell ref="B47:C47"/>
  </mergeCells>
  <conditionalFormatting sqref="A4:A46">
    <cfRule type="expression" dxfId="1012" priority="23">
      <formula>ISERROR(J4)</formula>
    </cfRule>
    <cfRule type="cellIs" dxfId="1011" priority="24" operator="equal">
      <formula>""</formula>
    </cfRule>
  </conditionalFormatting>
  <conditionalFormatting sqref="A47:C47">
    <cfRule type="expression" dxfId="1010" priority="8">
      <formula>$A$48&lt;&gt;0</formula>
    </cfRule>
  </conditionalFormatting>
  <conditionalFormatting sqref="B2">
    <cfRule type="expression" dxfId="1009" priority="50" stopIfTrue="1">
      <formula>$B$48="x"</formula>
    </cfRule>
  </conditionalFormatting>
  <conditionalFormatting sqref="B4:B46">
    <cfRule type="cellIs" dxfId="1006" priority="37" operator="equal">
      <formula>""</formula>
    </cfRule>
  </conditionalFormatting>
  <conditionalFormatting sqref="B48">
    <cfRule type="cellIs" dxfId="1005" priority="73" operator="equal">
      <formula>"y"</formula>
    </cfRule>
  </conditionalFormatting>
  <conditionalFormatting sqref="B3:J3">
    <cfRule type="expression" dxfId="1004" priority="10506">
      <formula>$B$48="x"</formula>
    </cfRule>
  </conditionalFormatting>
  <conditionalFormatting sqref="B4:J46">
    <cfRule type="expression" dxfId="1003" priority="33">
      <formula>$B$1="x"</formula>
    </cfRule>
  </conditionalFormatting>
  <conditionalFormatting sqref="B3:L3">
    <cfRule type="expression" dxfId="1002" priority="67">
      <formula>$B$48="x"</formula>
    </cfRule>
  </conditionalFormatting>
  <conditionalFormatting sqref="C4:D46">
    <cfRule type="expression" dxfId="1001" priority="40">
      <formula>AND($B4&lt;&gt;"",$C4="")</formula>
    </cfRule>
  </conditionalFormatting>
  <conditionalFormatting sqref="C49:I49">
    <cfRule type="cellIs" dxfId="1000" priority="72" stopIfTrue="1" operator="lessThan">
      <formula>0</formula>
    </cfRule>
    <cfRule type="cellIs" dxfId="999" priority="70" stopIfTrue="1" operator="greaterThanOrEqual">
      <formula>0</formula>
    </cfRule>
  </conditionalFormatting>
  <conditionalFormatting sqref="D47:J47">
    <cfRule type="expression" dxfId="998" priority="10">
      <formula>$A$48&lt;&gt;0</formula>
    </cfRule>
  </conditionalFormatting>
  <conditionalFormatting sqref="H4:H46">
    <cfRule type="expression" dxfId="997" priority="36">
      <formula>AND(G4&lt;&gt;"",H4="",$I$1&lt;&gt;"x")</formula>
    </cfRule>
  </conditionalFormatting>
  <conditionalFormatting sqref="H4:I46">
    <cfRule type="expression" dxfId="996" priority="34">
      <formula>AND($I4&lt;&gt;0,$I$1&lt;&gt;"ü")</formula>
    </cfRule>
    <cfRule type="expression" dxfId="995" priority="35">
      <formula>$I$1&lt;&gt;"ü"</formula>
    </cfRule>
  </conditionalFormatting>
  <conditionalFormatting sqref="J48:L48 C49:L49 C48:H48">
    <cfRule type="expression" dxfId="993" priority="69">
      <formula>$B$48="x"</formula>
    </cfRule>
  </conditionalFormatting>
  <conditionalFormatting sqref="J48:L49">
    <cfRule type="expression" dxfId="992" priority="68">
      <formula>AND($B$48="x",$J$48&lt;&gt;0)</formula>
    </cfRule>
  </conditionalFormatting>
  <conditionalFormatting sqref="K4:L46">
    <cfRule type="expression" dxfId="991" priority="16995">
      <formula>$B$48="x"</formula>
    </cfRule>
  </conditionalFormatting>
  <conditionalFormatting sqref="M3">
    <cfRule type="cellIs" dxfId="990" priority="32" operator="equal">
      <formula>""</formula>
    </cfRule>
  </conditionalFormatting>
  <conditionalFormatting sqref="M4:M46">
    <cfRule type="expression" dxfId="989" priority="30">
      <formula>ISERROR(J4)</formula>
    </cfRule>
    <cfRule type="cellIs" dxfId="988" priority="31" operator="equal">
      <formula>""</formula>
    </cfRule>
  </conditionalFormatting>
  <conditionalFormatting sqref="M47">
    <cfRule type="expression" dxfId="987" priority="9">
      <formula>$A$48&lt;&gt;0</formula>
    </cfRule>
  </conditionalFormatting>
  <conditionalFormatting sqref="M47:M49">
    <cfRule type="cellIs" dxfId="986" priority="12" operator="equal">
      <formula>""</formula>
    </cfRule>
  </conditionalFormatting>
  <conditionalFormatting sqref="N10:AB10">
    <cfRule type="expression" dxfId="985" priority="7">
      <formula>$N$2=0</formula>
    </cfRule>
  </conditionalFormatting>
  <conditionalFormatting sqref="O11:Z11">
    <cfRule type="cellIs" dxfId="984" priority="54" operator="equal">
      <formula>"Fehler!"</formula>
    </cfRule>
  </conditionalFormatting>
  <conditionalFormatting sqref="O4:AA4">
    <cfRule type="expression" dxfId="980" priority="49">
      <formula>$N$2=0</formula>
    </cfRule>
  </conditionalFormatting>
  <conditionalFormatting sqref="O2:AB3">
    <cfRule type="expression" dxfId="978" priority="2">
      <formula>$N$2=0</formula>
    </cfRule>
  </conditionalFormatting>
  <conditionalFormatting sqref="O5:AB8 O9:AA9">
    <cfRule type="expression" dxfId="977" priority="53">
      <formula>$N$2=0</formula>
    </cfRule>
  </conditionalFormatting>
  <conditionalFormatting sqref="O11:AB14">
    <cfRule type="expression" dxfId="976" priority="1">
      <formula>$N$2=0</formula>
    </cfRule>
  </conditionalFormatting>
  <conditionalFormatting sqref="O47:AB49">
    <cfRule type="expression" dxfId="975" priority="11">
      <formula>$N$2=0</formula>
    </cfRule>
  </conditionalFormatting>
  <dataValidations count="2">
    <dataValidation type="list" allowBlank="1" showInputMessage="1" showErrorMessage="1" sqref="H4:H46" xr:uid="{FB810CEA-1905-4AC2-B7C8-F7BE34501CF5}">
      <formula1>"19,7,0,~"</formula1>
    </dataValidation>
    <dataValidation type="list" allowBlank="1" showInputMessage="1" showErrorMessage="1" sqref="F4:F46" xr:uid="{AD399975-AE02-4C53-A9CE-51846C31C855}">
      <formula1>"Konto,Geldbeutel,Kreditkarte,x"</formula1>
    </dataValidation>
  </dataValidations>
  <hyperlinks>
    <hyperlink ref="J2" location="'2022 EÜR'!A1" display="Menü" xr:uid="{841664E6-E681-4454-8506-C1EA146A8AFC}"/>
    <hyperlink ref="J2:L2" location="EÜR!A1" display="EÜR" xr:uid="{09E215BB-DB79-4491-AE72-0568FC1C7291}"/>
  </hyperlinks>
  <printOptions horizontalCentered="1"/>
  <pageMargins left="0" right="0" top="0" bottom="0.31496062992125984" header="0" footer="0"/>
  <pageSetup paperSize="9" orientation="portrait" r:id="rId1"/>
  <headerFooter>
    <oddFooter>&amp;L&amp;"Arial,Standard"&amp;8Datei: &amp;Z&amp;F/&amp;A&amp;C&amp;"Arial,Standard"&amp;8Seite &amp;P von &amp;N&amp;R&amp;"Arial,Standard"&amp;8Druck: &amp;D&amp;T Uhr</oddFooter>
  </headerFooter>
  <extLst>
    <ext xmlns:x14="http://schemas.microsoft.com/office/spreadsheetml/2009/9/main" uri="{78C0D931-6437-407d-A8EE-F0AAD7539E65}">
      <x14:conditionalFormattings>
        <x14:conditionalFormatting xmlns:xm="http://schemas.microsoft.com/office/excel/2006/main">
          <x14:cfRule type="cellIs" priority="38" operator="greaterThan" id="{698F7D54-19D0-4342-B5F2-CE4F1CD362F5}">
            <xm:f>EÜR!$I$78</xm:f>
            <x14:dxf>
              <font>
                <b/>
                <i val="0"/>
                <color rgb="FFFFFF00"/>
              </font>
              <fill>
                <patternFill>
                  <bgColor rgb="FFC00000"/>
                </patternFill>
              </fill>
            </x14:dxf>
          </x14:cfRule>
          <x14:cfRule type="cellIs" priority="39" operator="lessThan" id="{3C9B5736-28E9-4278-A6E1-4F097AAD29EC}">
            <xm:f>EÜR!$I$77</xm:f>
            <x14:dxf>
              <font>
                <b/>
                <i val="0"/>
                <color rgb="FFFFFF00"/>
              </font>
              <fill>
                <patternFill>
                  <bgColor rgb="FFC00000"/>
                </patternFill>
              </fill>
            </x14:dxf>
          </x14:cfRule>
          <xm:sqref>B4:B46</xm:sqref>
        </x14:conditionalFormatting>
        <x14:conditionalFormatting xmlns:xm="http://schemas.microsoft.com/office/excel/2006/main">
          <x14:cfRule type="expression" priority="51" id="{FE3AED53-7879-43DE-AFBA-EFD03BE43FC6}">
            <xm:f>AND(EÜR!$J$66&lt;&gt;"ü",$H$48&lt;&gt;0)</xm:f>
            <x14:dxf>
              <font>
                <b/>
                <i val="0"/>
                <color rgb="FFFFFF00"/>
              </font>
              <fill>
                <patternFill>
                  <bgColor rgb="FFFF0000"/>
                </patternFill>
              </fill>
            </x14:dxf>
          </x14:cfRule>
          <xm:sqref>H48:I48</xm:sqref>
        </x14:conditionalFormatting>
        <x14:conditionalFormatting xmlns:xm="http://schemas.microsoft.com/office/excel/2006/main">
          <x14:cfRule type="expression" priority="55" id="{99FCCFF3-2085-4868-BDF5-15AC8C162382}">
            <xm:f>AND(O13&lt;&gt;0,U!L36="!",U!L37="!")</xm:f>
            <x14:dxf>
              <font>
                <b/>
                <i val="0"/>
                <color rgb="FFFF0000"/>
              </font>
              <fill>
                <patternFill>
                  <bgColor rgb="FFFFCCCC"/>
                </patternFill>
              </fill>
            </x14:dxf>
          </x14:cfRule>
          <x14:cfRule type="expression" priority="56" id="{F66DCDDD-9511-47E8-A82A-2B92D1EF3C40}">
            <xm:f>U!L37&lt;&gt;"!"</xm:f>
            <x14:dxf>
              <font>
                <b/>
                <i val="0"/>
                <color rgb="FF006666"/>
              </font>
              <fill>
                <patternFill>
                  <bgColor theme="6" tint="0.39994506668294322"/>
                </patternFill>
              </fill>
            </x14:dxf>
          </x14:cfRule>
          <x14:cfRule type="expression" priority="57" id="{837C2A17-9B66-435A-8C74-25B3E51B2FF2}">
            <xm:f>U!L36&lt;&gt;"!"</xm:f>
            <x14:dxf>
              <font>
                <b/>
                <i val="0"/>
                <color theme="9" tint="-0.499984740745262"/>
              </font>
              <fill>
                <patternFill>
                  <bgColor rgb="FFFFFF99"/>
                </patternFill>
              </fill>
            </x14:dxf>
          </x14:cfRule>
          <xm:sqref>O13:Z13</xm:sqref>
        </x14:conditionalFormatting>
        <x14:conditionalFormatting xmlns:xm="http://schemas.microsoft.com/office/excel/2006/main">
          <x14:cfRule type="expression" priority="3" id="{06558077-90C8-4E0E-B7FE-C3042F859EE9}">
            <xm:f>EÜR!$J$66="-"</xm:f>
            <x14:dxf>
              <font>
                <b/>
                <i val="0"/>
                <color theme="0"/>
              </font>
              <fill>
                <patternFill>
                  <bgColor theme="0"/>
                </patternFill>
              </fill>
              <border>
                <left/>
                <right/>
                <top/>
                <bottom/>
              </border>
            </x14:dxf>
          </x14:cfRule>
          <xm:sqref>O12:AA14</xm:sqref>
        </x14:conditionalFormatting>
      </x14:conditionalFormattings>
    </ext>
  </extLs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673BD3-8CBC-4E99-826A-0DF592593D62}">
  <sheetPr codeName="Tabelle20">
    <tabColor theme="9" tint="0.39997558519241921"/>
    <pageSetUpPr autoPageBreaks="0"/>
  </sheetPr>
  <dimension ref="A1:AB51"/>
  <sheetViews>
    <sheetView showGridLines="0" showRowColHeaders="0" zoomScaleNormal="100" workbookViewId="0">
      <pane ySplit="3" topLeftCell="A4" activePane="bottomLeft" state="frozen"/>
      <selection activeCell="F4" sqref="F4:F46"/>
      <selection pane="bottomLeft" activeCell="A4" sqref="A4"/>
    </sheetView>
  </sheetViews>
  <sheetFormatPr baseColWidth="10" defaultColWidth="9.77734375" defaultRowHeight="12.75"/>
  <cols>
    <col min="1" max="1" width="0.77734375" style="12" customWidth="1"/>
    <col min="2" max="2" width="7.6640625" style="30" customWidth="1"/>
    <col min="3" max="3" width="21.6640625" style="24" customWidth="1"/>
    <col min="4" max="4" width="7.6640625" style="24" customWidth="1"/>
    <col min="5" max="5" width="6.6640625" style="25" customWidth="1"/>
    <col min="6" max="6" width="9.6640625" style="26" customWidth="1"/>
    <col min="7" max="7" width="9.6640625" style="27" customWidth="1"/>
    <col min="8" max="8" width="2.6640625" style="28" customWidth="1"/>
    <col min="9" max="9" width="6.6640625" style="29" customWidth="1"/>
    <col min="10" max="10" width="9.6640625" style="27" customWidth="1"/>
    <col min="11" max="11" width="2.5546875" style="27" hidden="1" customWidth="1"/>
    <col min="12" max="12" width="1.5546875" style="32" hidden="1" customWidth="1"/>
    <col min="13" max="13" width="0.77734375" style="13" customWidth="1"/>
    <col min="14" max="14" width="1.77734375" style="147" customWidth="1"/>
    <col min="15" max="26" width="8.77734375" style="13" customWidth="1"/>
    <col min="27" max="27" width="10.33203125" style="13" customWidth="1"/>
    <col min="28" max="28" width="8.33203125" style="13" customWidth="1"/>
    <col min="29" max="16384" width="9.77734375" style="13"/>
  </cols>
  <sheetData>
    <row r="1" spans="1:28" s="37" customFormat="1" ht="3" customHeight="1" thickBot="1">
      <c r="A1" s="36"/>
      <c r="B1" s="53" t="str">
        <f>+B48</f>
        <v>ü</v>
      </c>
      <c r="C1" s="54">
        <f>+C49</f>
        <v>0</v>
      </c>
      <c r="D1" s="54"/>
      <c r="E1" s="53">
        <f>+E49</f>
        <v>0</v>
      </c>
      <c r="F1" s="53"/>
      <c r="G1" s="54">
        <f>+G49</f>
        <v>0</v>
      </c>
      <c r="H1" s="53"/>
      <c r="I1" s="338" t="str">
        <f>+EÜR!J66</f>
        <v>-</v>
      </c>
      <c r="J1" s="54">
        <f>+J48</f>
        <v>0</v>
      </c>
      <c r="K1" s="198"/>
      <c r="L1" s="56"/>
      <c r="N1" s="190"/>
    </row>
    <row r="2" spans="1:28" ht="23.1" customHeight="1" thickTop="1" thickBot="1">
      <c r="A2" s="36"/>
      <c r="B2" s="296" t="str">
        <f>+EÜR!D33</f>
        <v>A12</v>
      </c>
      <c r="C2" s="1290" t="str">
        <f>+EÜR!F33</f>
        <v>Miete/Leasing bewegliche Wirtschaftsgüter (/Kfz)</v>
      </c>
      <c r="D2" s="1291"/>
      <c r="E2" s="1291"/>
      <c r="F2" s="1291"/>
      <c r="G2" s="1291"/>
      <c r="H2" s="1291"/>
      <c r="I2" s="1292"/>
      <c r="J2" s="1227" t="s">
        <v>8</v>
      </c>
      <c r="K2" s="1228"/>
      <c r="L2" s="1229"/>
      <c r="M2" s="134"/>
      <c r="N2" s="190">
        <f>IF(OR(B48="x",N3=1),0,1)</f>
        <v>1</v>
      </c>
      <c r="O2" s="188">
        <f>+EOMONTH(EÜR!$I$3,-1)+1</f>
        <v>46023</v>
      </c>
      <c r="P2" s="188">
        <f t="shared" ref="P2:Z2" si="0">+O3+1</f>
        <v>46054</v>
      </c>
      <c r="Q2" s="188">
        <f t="shared" si="0"/>
        <v>46082</v>
      </c>
      <c r="R2" s="188">
        <f t="shared" si="0"/>
        <v>46113</v>
      </c>
      <c r="S2" s="188">
        <f t="shared" si="0"/>
        <v>46143</v>
      </c>
      <c r="T2" s="188">
        <f t="shared" si="0"/>
        <v>46174</v>
      </c>
      <c r="U2" s="188">
        <f t="shared" si="0"/>
        <v>46204</v>
      </c>
      <c r="V2" s="188">
        <f t="shared" si="0"/>
        <v>46235</v>
      </c>
      <c r="W2" s="188">
        <f t="shared" si="0"/>
        <v>46266</v>
      </c>
      <c r="X2" s="188">
        <f t="shared" si="0"/>
        <v>46296</v>
      </c>
      <c r="Y2" s="188">
        <f t="shared" si="0"/>
        <v>46327</v>
      </c>
      <c r="Z2" s="188">
        <f t="shared" si="0"/>
        <v>46357</v>
      </c>
      <c r="AA2" s="48"/>
    </row>
    <row r="3" spans="1:28" ht="14.25" customHeight="1" thickTop="1">
      <c r="A3" s="36" t="s">
        <v>5</v>
      </c>
      <c r="B3" s="58" t="s">
        <v>1</v>
      </c>
      <c r="C3" s="59" t="s">
        <v>6</v>
      </c>
      <c r="D3" s="60"/>
      <c r="E3" s="310" t="s">
        <v>7</v>
      </c>
      <c r="F3" s="61" t="s">
        <v>4</v>
      </c>
      <c r="G3" s="62" t="s">
        <v>31</v>
      </c>
      <c r="H3" s="63" t="s">
        <v>33</v>
      </c>
      <c r="I3" s="64" t="s">
        <v>32</v>
      </c>
      <c r="J3" s="275" t="s">
        <v>34</v>
      </c>
      <c r="K3" s="199">
        <v>0</v>
      </c>
      <c r="L3" s="65" t="s">
        <v>5</v>
      </c>
      <c r="M3" s="135" t="s">
        <v>5</v>
      </c>
      <c r="N3" s="222">
        <f>IF(SUBTOTAL(109,K3:K47)&lt;&gt;SUM(K3:K47),1,0)</f>
        <v>0</v>
      </c>
      <c r="O3" s="189">
        <f>EOMONTH(O2,0)</f>
        <v>46053</v>
      </c>
      <c r="P3" s="189">
        <f t="shared" ref="P3:Z3" si="1">EOMONTH(P2,0)</f>
        <v>46081</v>
      </c>
      <c r="Q3" s="189">
        <f t="shared" si="1"/>
        <v>46112</v>
      </c>
      <c r="R3" s="189">
        <f t="shared" si="1"/>
        <v>46142</v>
      </c>
      <c r="S3" s="189">
        <f t="shared" si="1"/>
        <v>46173</v>
      </c>
      <c r="T3" s="189">
        <f t="shared" si="1"/>
        <v>46203</v>
      </c>
      <c r="U3" s="189">
        <f t="shared" si="1"/>
        <v>46234</v>
      </c>
      <c r="V3" s="189">
        <f t="shared" si="1"/>
        <v>46265</v>
      </c>
      <c r="W3" s="189">
        <f t="shared" si="1"/>
        <v>46295</v>
      </c>
      <c r="X3" s="189">
        <f t="shared" si="1"/>
        <v>46326</v>
      </c>
      <c r="Y3" s="189">
        <f t="shared" si="1"/>
        <v>46356</v>
      </c>
      <c r="Z3" s="189">
        <f t="shared" si="1"/>
        <v>46387</v>
      </c>
      <c r="AB3" s="14"/>
    </row>
    <row r="4" spans="1:28" ht="13.35" customHeight="1">
      <c r="A4" s="50" t="s">
        <v>5</v>
      </c>
      <c r="B4" s="141"/>
      <c r="C4" s="80"/>
      <c r="D4" s="93"/>
      <c r="E4" s="226"/>
      <c r="F4" s="89"/>
      <c r="G4" s="81"/>
      <c r="H4" s="82"/>
      <c r="I4" s="83" t="str">
        <f t="shared" ref="I4:I44" si="2">IF(G4&lt;&gt;"",+G4-G4/(1+H4/100),"")</f>
        <v/>
      </c>
      <c r="J4" s="361" t="str">
        <f t="shared" ref="J4:J44" si="3">IF(G4&lt;&gt;0,+G4-I4,"")</f>
        <v/>
      </c>
      <c r="K4" s="200">
        <v>1</v>
      </c>
      <c r="L4" s="133">
        <f>IF(B4&lt;$O$2,0,IF(B4&lt;$P$2,1,IF(B4&lt;$Q$2,2,IF(B4&lt;$R$2,3,IF(B4&lt;$S$2,4,IF(B4&lt;$T$2,5,IF(B4&lt;$U$2,6,IF(B4&lt;$V$2,7,IF(B4&lt;$W$2,8,IF(B4&lt;$X$2,9,IF(B4&lt;$Y$2,10,IF(B4&lt;$Z$2,11,IF(B4&lt;=$Z$3,12,0)))))))))))))</f>
        <v>0</v>
      </c>
      <c r="M4" s="135" t="s">
        <v>5</v>
      </c>
      <c r="N4" s="190">
        <f>+N10+AA12+AA16</f>
        <v>0</v>
      </c>
      <c r="O4" s="251" t="s">
        <v>36</v>
      </c>
      <c r="P4" s="251" t="s">
        <v>37</v>
      </c>
      <c r="Q4" s="251" t="s">
        <v>38</v>
      </c>
      <c r="R4" s="251" t="s">
        <v>39</v>
      </c>
      <c r="S4" s="251" t="s">
        <v>40</v>
      </c>
      <c r="T4" s="251" t="s">
        <v>41</v>
      </c>
      <c r="U4" s="251" t="s">
        <v>42</v>
      </c>
      <c r="V4" s="251" t="s">
        <v>43</v>
      </c>
      <c r="W4" s="251" t="s">
        <v>44</v>
      </c>
      <c r="X4" s="251" t="s">
        <v>45</v>
      </c>
      <c r="Y4" s="251" t="s">
        <v>46</v>
      </c>
      <c r="Z4" s="251" t="s">
        <v>47</v>
      </c>
      <c r="AA4" s="1209" t="s">
        <v>255</v>
      </c>
      <c r="AB4" s="1210"/>
    </row>
    <row r="5" spans="1:28" ht="13.35" customHeight="1">
      <c r="A5" s="50" t="s">
        <v>5</v>
      </c>
      <c r="B5" s="141"/>
      <c r="C5" s="80"/>
      <c r="D5" s="93"/>
      <c r="E5" s="226"/>
      <c r="F5" s="89"/>
      <c r="G5" s="81"/>
      <c r="H5" s="82"/>
      <c r="I5" s="83" t="str">
        <f t="shared" si="2"/>
        <v/>
      </c>
      <c r="J5" s="361" t="str">
        <f t="shared" si="3"/>
        <v/>
      </c>
      <c r="K5" s="200">
        <v>2</v>
      </c>
      <c r="L5" s="133">
        <f t="shared" ref="L5:L44" si="4">IF(B5&lt;$O$2,0,IF(B5&lt;$P$2,1,IF(B5&lt;$Q$2,2,IF(B5&lt;$R$2,3,IF(B5&lt;$S$2,4,IF(B5&lt;$T$2,5,IF(B5&lt;$U$2,6,IF(B5&lt;$V$2,7,IF(B5&lt;$W$2,8,IF(B5&lt;$X$2,9,IF(B5&lt;$Y$2,10,IF(B5&lt;$Z$2,11,IF(B5&lt;=$Z$3,12,0)))))))))))))</f>
        <v>0</v>
      </c>
      <c r="M5" s="135" t="s">
        <v>5</v>
      </c>
      <c r="O5" s="252">
        <f>SUMIFS($G$3:$G$47,$L$3:$L$47,1,$F$3:$F$47,"Konto")</f>
        <v>0</v>
      </c>
      <c r="P5" s="252">
        <f>SUMIFS($G$3:$G$47,$L$3:$L$47,2,$F$3:$F$47,"Konto")</f>
        <v>0</v>
      </c>
      <c r="Q5" s="252">
        <f>SUMIFS($G$3:$G$47,$L$3:$L$47,3,$F$3:$F$47,"Konto")</f>
        <v>0</v>
      </c>
      <c r="R5" s="252">
        <f>SUMIFS($G$3:$G$47,$L$3:$L$47,4,$F$3:$F$47,"Konto")</f>
        <v>0</v>
      </c>
      <c r="S5" s="252">
        <f>SUMIFS($G$3:$G$47,$L$3:$L$47,5,$F$3:$F$47,"Konto")</f>
        <v>0</v>
      </c>
      <c r="T5" s="252">
        <f>SUMIFS($G$3:$G$47,$L$3:$L$47,6,$F$3:$F$47,"Konto")</f>
        <v>0</v>
      </c>
      <c r="U5" s="252">
        <f>SUMIFS($G$3:$G$47,$L$3:$L$47,7,$F$3:$F$47,"Konto")</f>
        <v>0</v>
      </c>
      <c r="V5" s="252">
        <f>SUMIFS($G$3:$G$47,$L$3:$L$47,8,$F$3:$F$47,"Konto")</f>
        <v>0</v>
      </c>
      <c r="W5" s="252">
        <f>SUMIFS($G$3:$G$47,$L$3:$L$47,9,$F$3:$F$47,"Konto")</f>
        <v>0</v>
      </c>
      <c r="X5" s="252">
        <f>SUMIFS($G$3:$G$47,$L$3:$L$47,10,$F$3:$F$47,"Konto")</f>
        <v>0</v>
      </c>
      <c r="Y5" s="252">
        <f>SUMIFS($G$3:$G$47,$L$3:$L$47,11,$F$3:$F$47,"Konto")</f>
        <v>0</v>
      </c>
      <c r="Z5" s="252">
        <f>SUMIFS($G$3:$G$47,$L$3:$L$47,12,$F$3:$F$47,"Konto")</f>
        <v>0</v>
      </c>
      <c r="AA5" s="253">
        <f>SUM(O5:Z5)</f>
        <v>0</v>
      </c>
      <c r="AB5" s="254" t="s">
        <v>140</v>
      </c>
    </row>
    <row r="6" spans="1:28" ht="13.35" customHeight="1">
      <c r="A6" s="50" t="s">
        <v>5</v>
      </c>
      <c r="B6" s="141"/>
      <c r="C6" s="80"/>
      <c r="D6" s="93"/>
      <c r="E6" s="226"/>
      <c r="F6" s="89"/>
      <c r="G6" s="81"/>
      <c r="H6" s="82"/>
      <c r="I6" s="83" t="str">
        <f t="shared" si="2"/>
        <v/>
      </c>
      <c r="J6" s="361" t="str">
        <f t="shared" si="3"/>
        <v/>
      </c>
      <c r="K6" s="200">
        <v>3</v>
      </c>
      <c r="L6" s="133">
        <f t="shared" si="4"/>
        <v>0</v>
      </c>
      <c r="M6" s="135" t="s">
        <v>5</v>
      </c>
      <c r="N6" s="190"/>
      <c r="O6" s="252">
        <f>SUMIFS($G$3:$G$47,$L$3:$L$47,1,$F$3:$F$47,"Kreditkarte")</f>
        <v>0</v>
      </c>
      <c r="P6" s="252">
        <f>SUMIFS($G$3:$G$47,$L$3:$L$47,2,$F$3:$F$47,"Kreditkarte")</f>
        <v>0</v>
      </c>
      <c r="Q6" s="252">
        <f>SUMIFS($G$3:$G$47,$L$3:$L$47,3,$F$3:$F$47,"Kreditkarte")</f>
        <v>0</v>
      </c>
      <c r="R6" s="252">
        <f>SUMIFS($G$3:$G$47,$L$3:$L$47,4,$F$3:$F$47,"Kreditkarte")</f>
        <v>0</v>
      </c>
      <c r="S6" s="252">
        <f>SUMIFS($G$3:$G$47,$L$3:$L$47,5,$F$3:$F$47,"Kreditkarte")</f>
        <v>0</v>
      </c>
      <c r="T6" s="252">
        <f>SUMIFS($G$3:$G$47,$L$3:$L$47,6,$F$3:$F$47,"Kreditkarte")</f>
        <v>0</v>
      </c>
      <c r="U6" s="252">
        <f>SUMIFS($G$3:$G$47,$L$3:$L$47,7,$F$3:$F$47,"Kreditkarte")</f>
        <v>0</v>
      </c>
      <c r="V6" s="252">
        <f>SUMIFS($G$3:$G$47,$L$3:$L$47,8,$F$3:$F$47,"Kreditkarte")</f>
        <v>0</v>
      </c>
      <c r="W6" s="252">
        <f>SUMIFS($G$3:$G$47,$L$3:$L$47,9,$F$3:$F$47,"Kreditkarte")</f>
        <v>0</v>
      </c>
      <c r="X6" s="252">
        <f>SUMIFS($G$3:$G$47,$L$3:$L$47,10,$F$3:$F$47,"Kreditkarte")</f>
        <v>0</v>
      </c>
      <c r="Y6" s="252">
        <f>SUMIFS($G$3:$G$47,$L$3:$L$47,11,$F$3:$F$47,"Kreditkarte")</f>
        <v>0</v>
      </c>
      <c r="Z6" s="252">
        <f>SUMIFS($G$3:$G$47,$L$3:$L$47,12,$F$3:$F$47,"Kreditkarte")</f>
        <v>0</v>
      </c>
      <c r="AA6" s="255">
        <f t="shared" ref="AA6:AA8" si="5">SUM(O6:Z6)</f>
        <v>0</v>
      </c>
      <c r="AB6" s="256" t="s">
        <v>142</v>
      </c>
    </row>
    <row r="7" spans="1:28" ht="13.35" customHeight="1">
      <c r="A7" s="50" t="s">
        <v>5</v>
      </c>
      <c r="B7" s="141"/>
      <c r="C7" s="80"/>
      <c r="D7" s="93"/>
      <c r="E7" s="226"/>
      <c r="F7" s="89"/>
      <c r="G7" s="81"/>
      <c r="H7" s="82"/>
      <c r="I7" s="83" t="str">
        <f t="shared" si="2"/>
        <v/>
      </c>
      <c r="J7" s="361" t="str">
        <f t="shared" si="3"/>
        <v/>
      </c>
      <c r="K7" s="200">
        <v>4</v>
      </c>
      <c r="L7" s="133">
        <f t="shared" si="4"/>
        <v>0</v>
      </c>
      <c r="M7" s="135" t="s">
        <v>5</v>
      </c>
      <c r="O7" s="252">
        <f>SUMIFS($G$3:$G$47,$L$3:$L$47,1,$F$3:$F$47,"Geldbeutel")</f>
        <v>0</v>
      </c>
      <c r="P7" s="252">
        <f>SUMIFS($G$3:$G$47,$L$3:$L$47,2,$F$3:$F$47,"Geldbeutel")</f>
        <v>0</v>
      </c>
      <c r="Q7" s="252">
        <f>SUMIFS($G$3:$G$47,$L$3:$L$47,3,$F$3:$F$47,"Geldbeutel")</f>
        <v>0</v>
      </c>
      <c r="R7" s="252">
        <f>SUMIFS($G$3:$G$47,$L$3:$L$47,4,$F$3:$F$47,"Geldbeutel")</f>
        <v>0</v>
      </c>
      <c r="S7" s="252">
        <f>SUMIFS($G$3:$G$47,$L$3:$L$47,5,$F$3:$F$47,"Geldbeutel")</f>
        <v>0</v>
      </c>
      <c r="T7" s="252">
        <f>SUMIFS($G$3:$G$47,$L$3:$L$47,6,$F$3:$F$47,"Geldbeutel")</f>
        <v>0</v>
      </c>
      <c r="U7" s="252">
        <f>SUMIFS($G$3:$G$47,$L$3:$L$47,7,$F$3:$F$47,"Geldbeutel")</f>
        <v>0</v>
      </c>
      <c r="V7" s="252">
        <f>SUMIFS($G$3:$G$47,$L$3:$L$47,8,$F$3:$F$47,"Geldbeutel")</f>
        <v>0</v>
      </c>
      <c r="W7" s="252">
        <f>SUMIFS($G$3:$G$47,$L$3:$L$47,9,$F$3:$F$47,"Geldbeutel")</f>
        <v>0</v>
      </c>
      <c r="X7" s="252">
        <f>SUMIFS($G$3:$G$47,$L$3:$L$47,10,$F$3:$F$47,"Geldbeutel")</f>
        <v>0</v>
      </c>
      <c r="Y7" s="252">
        <f>SUMIFS($G$3:$G$47,$L$3:$L$47,11,$F$3:$F$47,"Geldbeutel")</f>
        <v>0</v>
      </c>
      <c r="Z7" s="252">
        <f>SUMIFS($G$3:$G$47,$L$3:$L$47,12,$F$3:$F$47,"Geldbeutel")</f>
        <v>0</v>
      </c>
      <c r="AA7" s="253">
        <f t="shared" si="5"/>
        <v>0</v>
      </c>
      <c r="AB7" s="254" t="s">
        <v>139</v>
      </c>
    </row>
    <row r="8" spans="1:28" ht="13.35" customHeight="1">
      <c r="A8" s="50" t="s">
        <v>5</v>
      </c>
      <c r="B8" s="141"/>
      <c r="C8" s="80"/>
      <c r="D8" s="93"/>
      <c r="E8" s="226"/>
      <c r="F8" s="89"/>
      <c r="G8" s="81"/>
      <c r="H8" s="82"/>
      <c r="I8" s="83" t="str">
        <f t="shared" si="2"/>
        <v/>
      </c>
      <c r="J8" s="361" t="str">
        <f t="shared" si="3"/>
        <v/>
      </c>
      <c r="K8" s="200">
        <v>5</v>
      </c>
      <c r="L8" s="133">
        <f t="shared" si="4"/>
        <v>0</v>
      </c>
      <c r="M8" s="135" t="s">
        <v>5</v>
      </c>
      <c r="O8" s="252">
        <f>SUMIFS($G$3:$G$47,$L$3:$L$47,1,$F$3:$F$47,"X")</f>
        <v>0</v>
      </c>
      <c r="P8" s="252">
        <f>SUMIFS($G$3:$G$47,$L$3:$L$47,2,$F$3:$F$47,"X")</f>
        <v>0</v>
      </c>
      <c r="Q8" s="252">
        <f>SUMIFS($G$3:$G$47,$L$3:$L$47,3,$F$3:$F$47,"X")</f>
        <v>0</v>
      </c>
      <c r="R8" s="252">
        <f>SUMIFS($G$3:$G$47,$L$3:$L$47,4,$F$3:$F$47,"X")</f>
        <v>0</v>
      </c>
      <c r="S8" s="252">
        <f>SUMIFS($G$3:$G$47,$L$3:$L$47,5,$F$3:$F$47,"X")</f>
        <v>0</v>
      </c>
      <c r="T8" s="252">
        <f>SUMIFS($G$3:$G$47,$L$3:$L$47,6,$F$3:$F$47,"X")</f>
        <v>0</v>
      </c>
      <c r="U8" s="252">
        <f>SUMIFS($G$3:$G$47,$L$3:$L$47,7,$F$3:$F$47,"X")</f>
        <v>0</v>
      </c>
      <c r="V8" s="252">
        <f>SUMIFS($G$3:$G$47,$L$3:$L$47,8,$F$3:$F$47,"X")</f>
        <v>0</v>
      </c>
      <c r="W8" s="252">
        <f>SUMIFS($G$3:$G$47,$L$3:$L$47,9,$F$3:$F$47,"X")</f>
        <v>0</v>
      </c>
      <c r="X8" s="252">
        <f>SUMIFS($G$3:$G$47,$L$3:$L$47,10,$F$3:$F$47,"X")</f>
        <v>0</v>
      </c>
      <c r="Y8" s="252">
        <f>SUMIFS($G$3:$G$47,$L$3:$L$47,11,$F$3:$F$47,"X")</f>
        <v>0</v>
      </c>
      <c r="Z8" s="252">
        <f>SUMIFS($G$3:$G$47,$L$3:$L$47,12,$F$3:$F$47,"X")</f>
        <v>0</v>
      </c>
      <c r="AA8" s="255">
        <f t="shared" si="5"/>
        <v>0</v>
      </c>
      <c r="AB8" s="256" t="s">
        <v>192</v>
      </c>
    </row>
    <row r="9" spans="1:28" ht="13.35" customHeight="1">
      <c r="A9" s="50" t="s">
        <v>5</v>
      </c>
      <c r="B9" s="141"/>
      <c r="C9" s="80"/>
      <c r="D9" s="93"/>
      <c r="E9" s="226"/>
      <c r="F9" s="89"/>
      <c r="G9" s="81"/>
      <c r="H9" s="82"/>
      <c r="I9" s="83" t="str">
        <f t="shared" si="2"/>
        <v/>
      </c>
      <c r="J9" s="361" t="str">
        <f t="shared" si="3"/>
        <v/>
      </c>
      <c r="K9" s="200">
        <v>6</v>
      </c>
      <c r="L9" s="133">
        <f t="shared" si="4"/>
        <v>0</v>
      </c>
      <c r="M9" s="135" t="s">
        <v>5</v>
      </c>
      <c r="N9" s="191">
        <f>IF(OR(AND(AA14&lt;&gt;0,B48="x"),(O14+AA13)&lt;&gt;H48),1,0)</f>
        <v>0</v>
      </c>
      <c r="O9" s="257">
        <f>SUM(O5:O8)</f>
        <v>0</v>
      </c>
      <c r="P9" s="257">
        <f t="shared" ref="P9:Z9" si="6">SUM(P5:P8)</f>
        <v>0</v>
      </c>
      <c r="Q9" s="257">
        <f t="shared" si="6"/>
        <v>0</v>
      </c>
      <c r="R9" s="257">
        <f t="shared" si="6"/>
        <v>0</v>
      </c>
      <c r="S9" s="257">
        <f t="shared" si="6"/>
        <v>0</v>
      </c>
      <c r="T9" s="257">
        <f t="shared" si="6"/>
        <v>0</v>
      </c>
      <c r="U9" s="257">
        <f t="shared" si="6"/>
        <v>0</v>
      </c>
      <c r="V9" s="257">
        <f t="shared" si="6"/>
        <v>0</v>
      </c>
      <c r="W9" s="257">
        <f t="shared" si="6"/>
        <v>0</v>
      </c>
      <c r="X9" s="257">
        <f t="shared" si="6"/>
        <v>0</v>
      </c>
      <c r="Y9" s="257">
        <f t="shared" si="6"/>
        <v>0</v>
      </c>
      <c r="Z9" s="257">
        <f t="shared" si="6"/>
        <v>0</v>
      </c>
      <c r="AA9" s="1211" t="s">
        <v>197</v>
      </c>
      <c r="AB9" s="1212"/>
    </row>
    <row r="10" spans="1:28" ht="13.35" customHeight="1">
      <c r="A10" s="50" t="s">
        <v>5</v>
      </c>
      <c r="B10" s="141"/>
      <c r="C10" s="80"/>
      <c r="D10" s="93"/>
      <c r="E10" s="226"/>
      <c r="F10" s="89"/>
      <c r="G10" s="81"/>
      <c r="H10" s="82"/>
      <c r="I10" s="83" t="str">
        <f t="shared" si="2"/>
        <v/>
      </c>
      <c r="J10" s="361" t="str">
        <f t="shared" si="3"/>
        <v/>
      </c>
      <c r="K10" s="200">
        <v>7</v>
      </c>
      <c r="L10" s="133">
        <f t="shared" si="4"/>
        <v>0</v>
      </c>
      <c r="M10" s="135" t="s">
        <v>5</v>
      </c>
      <c r="N10" s="259">
        <f>IF(O10+AA10&lt;&gt;G48,1,0)</f>
        <v>0</v>
      </c>
      <c r="O10" s="1230">
        <f>SUM(O5:Z8)</f>
        <v>0</v>
      </c>
      <c r="P10" s="1231"/>
      <c r="Q10" s="1231"/>
      <c r="R10" s="1231"/>
      <c r="S10" s="1231"/>
      <c r="T10" s="1231"/>
      <c r="U10" s="1231"/>
      <c r="V10" s="1231"/>
      <c r="W10" s="1231"/>
      <c r="X10" s="1231"/>
      <c r="Y10" s="1231"/>
      <c r="Z10" s="1232"/>
      <c r="AA10" s="292">
        <f>+G48-AA7-AA6-AA5-AA8</f>
        <v>0</v>
      </c>
      <c r="AB10" s="293" t="s">
        <v>205</v>
      </c>
    </row>
    <row r="11" spans="1:28" ht="13.35" customHeight="1">
      <c r="A11" s="50" t="s">
        <v>5</v>
      </c>
      <c r="B11" s="141"/>
      <c r="C11" s="80"/>
      <c r="D11" s="93"/>
      <c r="E11" s="226"/>
      <c r="F11" s="89"/>
      <c r="G11" s="81"/>
      <c r="H11" s="82"/>
      <c r="I11" s="83" t="str">
        <f t="shared" si="2"/>
        <v/>
      </c>
      <c r="J11" s="361" t="str">
        <f t="shared" si="3"/>
        <v/>
      </c>
      <c r="K11" s="200">
        <v>8</v>
      </c>
      <c r="L11" s="133">
        <f t="shared" si="4"/>
        <v>0</v>
      </c>
      <c r="M11" s="135" t="s">
        <v>5</v>
      </c>
      <c r="O11" s="1219" t="str">
        <f>IF(N4&gt;0,"Fehler!","")</f>
        <v/>
      </c>
      <c r="P11" s="1219"/>
      <c r="Q11" s="1219"/>
      <c r="R11" s="1219"/>
      <c r="S11" s="1219"/>
      <c r="T11" s="1219"/>
      <c r="U11" s="1219"/>
      <c r="V11" s="1219"/>
      <c r="W11" s="1219"/>
      <c r="X11" s="1219"/>
      <c r="Y11" s="1219"/>
      <c r="Z11" s="1219"/>
    </row>
    <row r="12" spans="1:28" ht="13.35" customHeight="1">
      <c r="A12" s="50" t="s">
        <v>5</v>
      </c>
      <c r="B12" s="141"/>
      <c r="C12" s="80"/>
      <c r="D12" s="93"/>
      <c r="E12" s="226"/>
      <c r="F12" s="89"/>
      <c r="G12" s="81"/>
      <c r="H12" s="82"/>
      <c r="I12" s="83" t="str">
        <f t="shared" si="2"/>
        <v/>
      </c>
      <c r="J12" s="361" t="str">
        <f t="shared" si="3"/>
        <v/>
      </c>
      <c r="K12" s="200">
        <v>9</v>
      </c>
      <c r="L12" s="133">
        <f t="shared" si="4"/>
        <v>0</v>
      </c>
      <c r="M12" s="135" t="s">
        <v>5</v>
      </c>
      <c r="O12" s="203" t="s">
        <v>36</v>
      </c>
      <c r="P12" s="203" t="s">
        <v>37</v>
      </c>
      <c r="Q12" s="203" t="s">
        <v>38</v>
      </c>
      <c r="R12" s="203" t="s">
        <v>39</v>
      </c>
      <c r="S12" s="203" t="s">
        <v>40</v>
      </c>
      <c r="T12" s="203" t="s">
        <v>41</v>
      </c>
      <c r="U12" s="203" t="s">
        <v>42</v>
      </c>
      <c r="V12" s="203" t="s">
        <v>43</v>
      </c>
      <c r="W12" s="203" t="s">
        <v>44</v>
      </c>
      <c r="X12" s="203" t="s">
        <v>45</v>
      </c>
      <c r="Y12" s="203" t="s">
        <v>46</v>
      </c>
      <c r="Z12" s="203" t="s">
        <v>47</v>
      </c>
      <c r="AA12" s="221">
        <f>IF(O14+AA13&lt;&gt;H48,1,0)</f>
        <v>0</v>
      </c>
    </row>
    <row r="13" spans="1:28" ht="13.35" customHeight="1">
      <c r="A13" s="50" t="s">
        <v>5</v>
      </c>
      <c r="B13" s="141"/>
      <c r="C13" s="80"/>
      <c r="D13" s="93"/>
      <c r="E13" s="226"/>
      <c r="F13" s="89"/>
      <c r="G13" s="81"/>
      <c r="H13" s="82"/>
      <c r="I13" s="83" t="str">
        <f t="shared" si="2"/>
        <v/>
      </c>
      <c r="J13" s="361" t="str">
        <f t="shared" si="3"/>
        <v/>
      </c>
      <c r="K13" s="200">
        <v>10</v>
      </c>
      <c r="L13" s="133">
        <f t="shared" si="4"/>
        <v>0</v>
      </c>
      <c r="M13" s="135" t="s">
        <v>5</v>
      </c>
      <c r="O13" s="187">
        <f>SUMIF($L$3:$L$47,1,$I$3:$I$47)</f>
        <v>0</v>
      </c>
      <c r="P13" s="187">
        <f>SUMIF($L$3:$L$47,2,$I$3:$I$47)</f>
        <v>0</v>
      </c>
      <c r="Q13" s="187">
        <f>SUMIF($L$3:$L$47,3,$I$3:$I$47)</f>
        <v>0</v>
      </c>
      <c r="R13" s="187">
        <f>SUMIF($L$3:$L$47,4,$I$3:$I$47)</f>
        <v>0</v>
      </c>
      <c r="S13" s="187">
        <f>SUMIF($L$3:$L$47,5,$I$3:$I$47)</f>
        <v>0</v>
      </c>
      <c r="T13" s="187">
        <f>SUMIF($L$3:$L$47,6,$I$3:$I$47)</f>
        <v>0</v>
      </c>
      <c r="U13" s="187">
        <f>SUMIF($L$3:$L$47,7,$I$3:$I$47)</f>
        <v>0</v>
      </c>
      <c r="V13" s="187">
        <f>SUMIF($L$3:$L$47,8,$I$3:$I$47)</f>
        <v>0</v>
      </c>
      <c r="W13" s="187">
        <f>SUMIF($L$3:$L$47,9,$I$3:$I$47)</f>
        <v>0</v>
      </c>
      <c r="X13" s="187">
        <f>SUMIF($L$3:$L$47,10,$I$3:$I$47)</f>
        <v>0</v>
      </c>
      <c r="Y13" s="187">
        <f>SUMIF($L$3:$L$47,11,$I$3:$I$47)</f>
        <v>0</v>
      </c>
      <c r="Z13" s="187">
        <f>SUMIF($L$3:$L$47,12,$I$3:$I$47)</f>
        <v>0</v>
      </c>
      <c r="AA13" s="1220">
        <f>SUMIF($L$3:$L$47,0,$I$3:$I$47)</f>
        <v>0</v>
      </c>
      <c r="AB13" s="1221"/>
    </row>
    <row r="14" spans="1:28" ht="13.35" customHeight="1">
      <c r="A14" s="50" t="s">
        <v>5</v>
      </c>
      <c r="B14" s="141"/>
      <c r="C14" s="80"/>
      <c r="D14" s="93"/>
      <c r="E14" s="226"/>
      <c r="F14" s="89"/>
      <c r="G14" s="81"/>
      <c r="H14" s="82"/>
      <c r="I14" s="83" t="str">
        <f t="shared" si="2"/>
        <v/>
      </c>
      <c r="J14" s="361" t="str">
        <f t="shared" si="3"/>
        <v/>
      </c>
      <c r="K14" s="200">
        <v>11</v>
      </c>
      <c r="L14" s="133">
        <f t="shared" si="4"/>
        <v>0</v>
      </c>
      <c r="M14" s="135" t="s">
        <v>5</v>
      </c>
      <c r="O14" s="1299">
        <f>SUM(O13:Z13)</f>
        <v>0</v>
      </c>
      <c r="P14" s="1300"/>
      <c r="Q14" s="1300"/>
      <c r="R14" s="1300"/>
      <c r="S14" s="1300"/>
      <c r="T14" s="1300"/>
      <c r="U14" s="1300"/>
      <c r="V14" s="1300"/>
      <c r="W14" s="1300"/>
      <c r="X14" s="1300"/>
      <c r="Y14" s="1300"/>
      <c r="Z14" s="1301"/>
      <c r="AA14" s="1222">
        <f>SUM(O13:Z13)+AA13</f>
        <v>0</v>
      </c>
      <c r="AB14" s="1223"/>
    </row>
    <row r="15" spans="1:28" ht="13.35" customHeight="1">
      <c r="A15" s="50" t="s">
        <v>5</v>
      </c>
      <c r="B15" s="141"/>
      <c r="C15" s="260"/>
      <c r="D15" s="93"/>
      <c r="E15" s="226"/>
      <c r="F15" s="89"/>
      <c r="G15" s="81"/>
      <c r="H15" s="82"/>
      <c r="I15" s="83" t="str">
        <f t="shared" si="2"/>
        <v/>
      </c>
      <c r="J15" s="361" t="str">
        <f t="shared" si="3"/>
        <v/>
      </c>
      <c r="K15" s="200">
        <v>12</v>
      </c>
      <c r="L15" s="133">
        <f t="shared" si="4"/>
        <v>0</v>
      </c>
      <c r="M15" s="135" t="s">
        <v>5</v>
      </c>
      <c r="O15" s="244"/>
      <c r="P15" s="244"/>
      <c r="Q15" s="244"/>
      <c r="R15" s="244"/>
      <c r="S15" s="244"/>
      <c r="T15" s="244"/>
      <c r="U15" s="244"/>
      <c r="V15" s="244"/>
      <c r="W15" s="244"/>
      <c r="X15" s="244"/>
      <c r="Y15" s="244"/>
      <c r="Z15" s="244"/>
      <c r="AA15" s="244"/>
      <c r="AB15" s="244"/>
    </row>
    <row r="16" spans="1:28" ht="13.35" customHeight="1">
      <c r="A16" s="50" t="s">
        <v>5</v>
      </c>
      <c r="B16" s="141"/>
      <c r="C16" s="80"/>
      <c r="D16" s="93"/>
      <c r="E16" s="226"/>
      <c r="F16" s="89"/>
      <c r="G16" s="81"/>
      <c r="H16" s="82"/>
      <c r="I16" s="83" t="str">
        <f t="shared" si="2"/>
        <v/>
      </c>
      <c r="J16" s="361" t="str">
        <f t="shared" si="3"/>
        <v/>
      </c>
      <c r="K16" s="200">
        <v>13</v>
      </c>
      <c r="L16" s="133">
        <f t="shared" si="4"/>
        <v>0</v>
      </c>
      <c r="M16" s="135" t="s">
        <v>5</v>
      </c>
      <c r="O16" s="244"/>
      <c r="P16" s="244"/>
      <c r="Q16" s="244"/>
      <c r="R16" s="244"/>
      <c r="S16" s="244"/>
      <c r="T16" s="244"/>
      <c r="U16" s="244"/>
      <c r="V16" s="244"/>
      <c r="W16" s="244"/>
      <c r="X16" s="244"/>
      <c r="Y16" s="244"/>
      <c r="Z16" s="244"/>
      <c r="AA16" s="244"/>
      <c r="AB16" s="244"/>
    </row>
    <row r="17" spans="1:28" ht="13.35" customHeight="1">
      <c r="A17" s="50" t="s">
        <v>5</v>
      </c>
      <c r="B17" s="141"/>
      <c r="C17" s="80"/>
      <c r="D17" s="93"/>
      <c r="E17" s="226"/>
      <c r="F17" s="89"/>
      <c r="G17" s="81"/>
      <c r="H17" s="82"/>
      <c r="I17" s="83" t="str">
        <f t="shared" si="2"/>
        <v/>
      </c>
      <c r="J17" s="361" t="str">
        <f t="shared" si="3"/>
        <v/>
      </c>
      <c r="K17" s="200">
        <v>14</v>
      </c>
      <c r="L17" s="133">
        <f t="shared" si="4"/>
        <v>0</v>
      </c>
      <c r="M17" s="135" t="s">
        <v>5</v>
      </c>
      <c r="O17" s="244"/>
      <c r="P17" s="244"/>
      <c r="Q17" s="244"/>
      <c r="R17" s="244"/>
      <c r="S17" s="244"/>
      <c r="T17" s="244"/>
      <c r="U17" s="244"/>
      <c r="V17" s="244"/>
      <c r="W17" s="244"/>
      <c r="X17" s="244"/>
      <c r="Y17" s="244"/>
      <c r="Z17" s="244"/>
      <c r="AA17" s="244"/>
      <c r="AB17" s="244"/>
    </row>
    <row r="18" spans="1:28" ht="13.35" customHeight="1">
      <c r="A18" s="50" t="s">
        <v>5</v>
      </c>
      <c r="B18" s="141"/>
      <c r="C18" s="80"/>
      <c r="D18" s="93"/>
      <c r="E18" s="226"/>
      <c r="F18" s="89"/>
      <c r="G18" s="81"/>
      <c r="H18" s="82"/>
      <c r="I18" s="83" t="str">
        <f t="shared" si="2"/>
        <v/>
      </c>
      <c r="J18" s="361" t="str">
        <f t="shared" si="3"/>
        <v/>
      </c>
      <c r="K18" s="200">
        <v>15</v>
      </c>
      <c r="L18" s="133">
        <f t="shared" si="4"/>
        <v>0</v>
      </c>
      <c r="M18" s="135" t="s">
        <v>5</v>
      </c>
      <c r="O18" s="244"/>
      <c r="P18" s="244"/>
      <c r="Q18" s="244"/>
      <c r="R18" s="244"/>
      <c r="S18" s="244"/>
      <c r="T18" s="244"/>
      <c r="U18" s="244"/>
      <c r="V18" s="244"/>
      <c r="W18" s="244"/>
      <c r="X18" s="244"/>
      <c r="Y18" s="244"/>
      <c r="Z18" s="244"/>
      <c r="AA18" s="244"/>
      <c r="AB18" s="244"/>
    </row>
    <row r="19" spans="1:28" ht="13.35" customHeight="1">
      <c r="A19" s="50" t="s">
        <v>5</v>
      </c>
      <c r="B19" s="141"/>
      <c r="C19" s="80"/>
      <c r="D19" s="93"/>
      <c r="E19" s="226"/>
      <c r="F19" s="89"/>
      <c r="G19" s="81"/>
      <c r="H19" s="82"/>
      <c r="I19" s="83" t="str">
        <f t="shared" si="2"/>
        <v/>
      </c>
      <c r="J19" s="361" t="str">
        <f t="shared" si="3"/>
        <v/>
      </c>
      <c r="K19" s="200">
        <v>16</v>
      </c>
      <c r="L19" s="133">
        <f t="shared" si="4"/>
        <v>0</v>
      </c>
      <c r="M19" s="135" t="s">
        <v>5</v>
      </c>
      <c r="O19" s="244"/>
      <c r="P19" s="244"/>
      <c r="Q19" s="244"/>
      <c r="R19" s="244"/>
      <c r="S19" s="244"/>
      <c r="T19" s="244"/>
      <c r="U19" s="244"/>
      <c r="V19" s="244"/>
      <c r="W19" s="244"/>
      <c r="X19" s="244"/>
      <c r="Y19" s="244"/>
      <c r="Z19" s="244"/>
      <c r="AA19" s="244"/>
      <c r="AB19" s="244"/>
    </row>
    <row r="20" spans="1:28" ht="13.35" customHeight="1">
      <c r="A20" s="50" t="s">
        <v>5</v>
      </c>
      <c r="B20" s="141"/>
      <c r="C20" s="80"/>
      <c r="D20" s="93"/>
      <c r="E20" s="226"/>
      <c r="F20" s="89"/>
      <c r="G20" s="81"/>
      <c r="H20" s="82"/>
      <c r="I20" s="83" t="str">
        <f t="shared" si="2"/>
        <v/>
      </c>
      <c r="J20" s="361" t="str">
        <f t="shared" si="3"/>
        <v/>
      </c>
      <c r="K20" s="200">
        <v>17</v>
      </c>
      <c r="L20" s="133">
        <f t="shared" si="4"/>
        <v>0</v>
      </c>
      <c r="M20" s="135" t="s">
        <v>5</v>
      </c>
      <c r="O20" s="244"/>
      <c r="P20" s="244"/>
      <c r="Q20" s="244"/>
      <c r="R20" s="244"/>
      <c r="S20" s="244"/>
      <c r="T20" s="244"/>
      <c r="U20" s="244"/>
      <c r="V20" s="244"/>
      <c r="W20" s="244"/>
      <c r="X20" s="244"/>
      <c r="Y20" s="244"/>
      <c r="Z20" s="244"/>
      <c r="AA20" s="244"/>
      <c r="AB20" s="244"/>
    </row>
    <row r="21" spans="1:28" ht="13.35" customHeight="1">
      <c r="A21" s="50" t="s">
        <v>5</v>
      </c>
      <c r="B21" s="141"/>
      <c r="C21" s="80"/>
      <c r="D21" s="93"/>
      <c r="E21" s="226"/>
      <c r="F21" s="89"/>
      <c r="G21" s="81"/>
      <c r="H21" s="82"/>
      <c r="I21" s="83" t="str">
        <f t="shared" si="2"/>
        <v/>
      </c>
      <c r="J21" s="361" t="str">
        <f t="shared" si="3"/>
        <v/>
      </c>
      <c r="K21" s="200">
        <v>18</v>
      </c>
      <c r="L21" s="133">
        <f t="shared" si="4"/>
        <v>0</v>
      </c>
      <c r="M21" s="135" t="s">
        <v>5</v>
      </c>
      <c r="O21" s="244"/>
      <c r="P21" s="244"/>
      <c r="Q21" s="244"/>
      <c r="R21" s="244"/>
      <c r="S21" s="244"/>
      <c r="T21" s="244"/>
      <c r="U21" s="244"/>
      <c r="V21" s="244"/>
      <c r="W21" s="244"/>
      <c r="X21" s="244"/>
      <c r="Y21" s="244"/>
      <c r="Z21" s="244"/>
      <c r="AA21" s="244"/>
      <c r="AB21" s="244"/>
    </row>
    <row r="22" spans="1:28" ht="13.35" customHeight="1">
      <c r="A22" s="50" t="s">
        <v>5</v>
      </c>
      <c r="B22" s="141"/>
      <c r="C22" s="80"/>
      <c r="D22" s="93"/>
      <c r="E22" s="226"/>
      <c r="F22" s="89"/>
      <c r="G22" s="81"/>
      <c r="H22" s="82"/>
      <c r="I22" s="83" t="str">
        <f t="shared" si="2"/>
        <v/>
      </c>
      <c r="J22" s="361" t="str">
        <f t="shared" si="3"/>
        <v/>
      </c>
      <c r="K22" s="200">
        <v>19</v>
      </c>
      <c r="L22" s="133">
        <f t="shared" si="4"/>
        <v>0</v>
      </c>
      <c r="M22" s="135" t="s">
        <v>5</v>
      </c>
      <c r="O22" s="244"/>
      <c r="P22" s="244"/>
      <c r="Q22" s="244"/>
      <c r="R22" s="244"/>
      <c r="S22" s="244"/>
      <c r="T22" s="244"/>
      <c r="U22" s="244"/>
      <c r="V22" s="244"/>
      <c r="W22" s="244"/>
      <c r="X22" s="244"/>
      <c r="Y22" s="244"/>
      <c r="Z22" s="244"/>
      <c r="AA22" s="244"/>
      <c r="AB22" s="244"/>
    </row>
    <row r="23" spans="1:28" ht="13.35" customHeight="1">
      <c r="A23" s="50" t="s">
        <v>5</v>
      </c>
      <c r="B23" s="141"/>
      <c r="C23" s="80"/>
      <c r="D23" s="94"/>
      <c r="E23" s="226"/>
      <c r="F23" s="89"/>
      <c r="G23" s="81"/>
      <c r="H23" s="82"/>
      <c r="I23" s="83" t="str">
        <f t="shared" si="2"/>
        <v/>
      </c>
      <c r="J23" s="361" t="str">
        <f t="shared" si="3"/>
        <v/>
      </c>
      <c r="K23" s="200">
        <v>20</v>
      </c>
      <c r="L23" s="133">
        <f t="shared" si="4"/>
        <v>0</v>
      </c>
      <c r="M23" s="135" t="s">
        <v>5</v>
      </c>
      <c r="O23" s="244"/>
      <c r="P23" s="244"/>
      <c r="Q23" s="244"/>
      <c r="R23" s="244"/>
      <c r="S23" s="244"/>
      <c r="T23" s="244"/>
      <c r="U23" s="244"/>
      <c r="V23" s="244"/>
      <c r="W23" s="244"/>
      <c r="X23" s="244"/>
      <c r="Y23" s="244"/>
      <c r="Z23" s="244"/>
      <c r="AA23" s="244"/>
      <c r="AB23" s="244"/>
    </row>
    <row r="24" spans="1:28" ht="13.35" customHeight="1">
      <c r="A24" s="50" t="s">
        <v>5</v>
      </c>
      <c r="B24" s="141"/>
      <c r="C24" s="80"/>
      <c r="D24" s="93"/>
      <c r="E24" s="226"/>
      <c r="F24" s="89"/>
      <c r="G24" s="81"/>
      <c r="H24" s="82"/>
      <c r="I24" s="83" t="str">
        <f t="shared" si="2"/>
        <v/>
      </c>
      <c r="J24" s="361" t="str">
        <f t="shared" si="3"/>
        <v/>
      </c>
      <c r="K24" s="200">
        <v>21</v>
      </c>
      <c r="L24" s="133">
        <f t="shared" si="4"/>
        <v>0</v>
      </c>
      <c r="M24" s="135" t="s">
        <v>5</v>
      </c>
      <c r="O24" s="244"/>
      <c r="P24" s="244"/>
      <c r="Q24" s="244"/>
      <c r="R24" s="244"/>
      <c r="S24" s="244"/>
      <c r="T24" s="244"/>
      <c r="U24" s="244"/>
      <c r="V24" s="244"/>
      <c r="W24" s="244"/>
      <c r="X24" s="244"/>
      <c r="Y24" s="244"/>
      <c r="Z24" s="244"/>
      <c r="AA24" s="244"/>
      <c r="AB24" s="244"/>
    </row>
    <row r="25" spans="1:28" ht="13.35" customHeight="1">
      <c r="A25" s="50" t="s">
        <v>5</v>
      </c>
      <c r="B25" s="141"/>
      <c r="C25" s="80"/>
      <c r="D25" s="93"/>
      <c r="E25" s="226"/>
      <c r="F25" s="89"/>
      <c r="G25" s="81"/>
      <c r="H25" s="82"/>
      <c r="I25" s="83" t="str">
        <f t="shared" si="2"/>
        <v/>
      </c>
      <c r="J25" s="361" t="str">
        <f t="shared" si="3"/>
        <v/>
      </c>
      <c r="K25" s="200">
        <v>22</v>
      </c>
      <c r="L25" s="133">
        <f t="shared" si="4"/>
        <v>0</v>
      </c>
      <c r="M25" s="135" t="s">
        <v>5</v>
      </c>
      <c r="O25" s="244"/>
      <c r="P25" s="244"/>
      <c r="Q25" s="244"/>
      <c r="R25" s="244"/>
      <c r="S25" s="244"/>
      <c r="T25" s="244"/>
      <c r="U25" s="244"/>
      <c r="V25" s="244"/>
      <c r="W25" s="244"/>
      <c r="X25" s="244"/>
      <c r="Y25" s="244"/>
      <c r="Z25" s="244"/>
      <c r="AA25" s="244"/>
      <c r="AB25" s="244"/>
    </row>
    <row r="26" spans="1:28" ht="13.35" customHeight="1">
      <c r="A26" s="50" t="s">
        <v>5</v>
      </c>
      <c r="B26" s="141"/>
      <c r="C26" s="80"/>
      <c r="D26" s="93"/>
      <c r="E26" s="226"/>
      <c r="F26" s="89"/>
      <c r="G26" s="81"/>
      <c r="H26" s="82"/>
      <c r="I26" s="83" t="str">
        <f t="shared" si="2"/>
        <v/>
      </c>
      <c r="J26" s="361" t="str">
        <f t="shared" si="3"/>
        <v/>
      </c>
      <c r="K26" s="200">
        <v>23</v>
      </c>
      <c r="L26" s="133">
        <f t="shared" si="4"/>
        <v>0</v>
      </c>
      <c r="M26" s="135" t="s">
        <v>5</v>
      </c>
      <c r="O26" s="244"/>
      <c r="P26" s="244"/>
      <c r="Q26" s="244"/>
      <c r="R26" s="244"/>
      <c r="S26" s="244"/>
      <c r="T26" s="244"/>
      <c r="U26" s="244"/>
      <c r="V26" s="244"/>
      <c r="W26" s="244"/>
      <c r="X26" s="244"/>
      <c r="Y26" s="244"/>
      <c r="Z26" s="244"/>
      <c r="AA26" s="244"/>
      <c r="AB26" s="244"/>
    </row>
    <row r="27" spans="1:28" ht="13.35" customHeight="1">
      <c r="A27" s="50" t="s">
        <v>5</v>
      </c>
      <c r="B27" s="141"/>
      <c r="C27" s="80"/>
      <c r="D27" s="93"/>
      <c r="E27" s="226"/>
      <c r="F27" s="89"/>
      <c r="G27" s="81"/>
      <c r="H27" s="82"/>
      <c r="I27" s="83" t="str">
        <f t="shared" si="2"/>
        <v/>
      </c>
      <c r="J27" s="361" t="str">
        <f t="shared" si="3"/>
        <v/>
      </c>
      <c r="K27" s="200">
        <v>24</v>
      </c>
      <c r="L27" s="133">
        <f t="shared" si="4"/>
        <v>0</v>
      </c>
      <c r="M27" s="135" t="s">
        <v>5</v>
      </c>
      <c r="O27" s="244"/>
      <c r="P27" s="244"/>
      <c r="Q27" s="244"/>
      <c r="R27" s="244"/>
      <c r="S27" s="244"/>
      <c r="T27" s="244"/>
      <c r="U27" s="244"/>
      <c r="V27" s="244"/>
      <c r="W27" s="244"/>
      <c r="X27" s="244"/>
      <c r="Y27" s="244"/>
      <c r="Z27" s="244"/>
      <c r="AA27" s="244"/>
      <c r="AB27" s="244"/>
    </row>
    <row r="28" spans="1:28" ht="13.35" customHeight="1">
      <c r="A28" s="50" t="s">
        <v>5</v>
      </c>
      <c r="B28" s="141"/>
      <c r="C28" s="80"/>
      <c r="D28" s="93"/>
      <c r="E28" s="226"/>
      <c r="F28" s="89"/>
      <c r="G28" s="81"/>
      <c r="H28" s="82"/>
      <c r="I28" s="83" t="str">
        <f t="shared" si="2"/>
        <v/>
      </c>
      <c r="J28" s="361" t="str">
        <f t="shared" si="3"/>
        <v/>
      </c>
      <c r="K28" s="200">
        <v>25</v>
      </c>
      <c r="L28" s="133">
        <f t="shared" si="4"/>
        <v>0</v>
      </c>
      <c r="M28" s="135" t="s">
        <v>5</v>
      </c>
      <c r="O28" s="244"/>
      <c r="P28" s="244"/>
      <c r="Q28" s="244"/>
      <c r="R28" s="244"/>
      <c r="S28" s="244"/>
      <c r="T28" s="244"/>
      <c r="U28" s="244"/>
      <c r="V28" s="244"/>
      <c r="W28" s="244"/>
      <c r="X28" s="244"/>
      <c r="Y28" s="244"/>
      <c r="Z28" s="244"/>
      <c r="AA28" s="244"/>
      <c r="AB28" s="244"/>
    </row>
    <row r="29" spans="1:28" ht="13.35" customHeight="1">
      <c r="A29" s="50" t="s">
        <v>5</v>
      </c>
      <c r="B29" s="141"/>
      <c r="C29" s="80"/>
      <c r="D29" s="93"/>
      <c r="E29" s="226"/>
      <c r="F29" s="89"/>
      <c r="G29" s="81"/>
      <c r="H29" s="82"/>
      <c r="I29" s="83" t="str">
        <f t="shared" si="2"/>
        <v/>
      </c>
      <c r="J29" s="361" t="str">
        <f t="shared" si="3"/>
        <v/>
      </c>
      <c r="K29" s="200">
        <v>26</v>
      </c>
      <c r="L29" s="133">
        <f t="shared" si="4"/>
        <v>0</v>
      </c>
      <c r="M29" s="135" t="s">
        <v>5</v>
      </c>
      <c r="O29" s="244"/>
      <c r="P29" s="244"/>
      <c r="Q29" s="244"/>
      <c r="R29" s="244"/>
      <c r="S29" s="244"/>
      <c r="T29" s="244"/>
      <c r="U29" s="244"/>
      <c r="V29" s="244"/>
      <c r="W29" s="244"/>
      <c r="X29" s="244"/>
      <c r="Y29" s="244"/>
      <c r="Z29" s="244"/>
      <c r="AA29" s="244"/>
      <c r="AB29" s="244"/>
    </row>
    <row r="30" spans="1:28" ht="13.35" customHeight="1">
      <c r="A30" s="50" t="s">
        <v>5</v>
      </c>
      <c r="B30" s="141"/>
      <c r="C30" s="80"/>
      <c r="D30" s="93"/>
      <c r="E30" s="226"/>
      <c r="F30" s="89"/>
      <c r="G30" s="81"/>
      <c r="H30" s="82"/>
      <c r="I30" s="83" t="str">
        <f t="shared" si="2"/>
        <v/>
      </c>
      <c r="J30" s="361" t="str">
        <f t="shared" si="3"/>
        <v/>
      </c>
      <c r="K30" s="200">
        <v>27</v>
      </c>
      <c r="L30" s="133">
        <f t="shared" si="4"/>
        <v>0</v>
      </c>
      <c r="M30" s="135" t="s">
        <v>5</v>
      </c>
      <c r="O30" s="244"/>
      <c r="P30" s="244"/>
      <c r="Q30" s="244"/>
      <c r="R30" s="244"/>
      <c r="S30" s="244"/>
      <c r="T30" s="244"/>
      <c r="U30" s="244"/>
      <c r="V30" s="244"/>
      <c r="W30" s="244"/>
      <c r="X30" s="244"/>
      <c r="Y30" s="244"/>
      <c r="Z30" s="244"/>
      <c r="AA30" s="244"/>
      <c r="AB30" s="244"/>
    </row>
    <row r="31" spans="1:28" ht="13.35" customHeight="1">
      <c r="A31" s="50" t="s">
        <v>5</v>
      </c>
      <c r="B31" s="141"/>
      <c r="C31" s="80"/>
      <c r="D31" s="93"/>
      <c r="E31" s="226"/>
      <c r="F31" s="89"/>
      <c r="G31" s="81"/>
      <c r="H31" s="82"/>
      <c r="I31" s="83" t="str">
        <f t="shared" si="2"/>
        <v/>
      </c>
      <c r="J31" s="361" t="str">
        <f t="shared" si="3"/>
        <v/>
      </c>
      <c r="K31" s="200">
        <v>28</v>
      </c>
      <c r="L31" s="133">
        <f t="shared" si="4"/>
        <v>0</v>
      </c>
      <c r="M31" s="135" t="s">
        <v>5</v>
      </c>
      <c r="O31" s="244"/>
      <c r="P31" s="244"/>
      <c r="Q31" s="244"/>
      <c r="R31" s="244"/>
      <c r="S31" s="244"/>
      <c r="T31" s="244"/>
      <c r="U31" s="244"/>
      <c r="V31" s="244"/>
      <c r="W31" s="244"/>
      <c r="X31" s="244"/>
      <c r="Y31" s="244"/>
      <c r="Z31" s="244"/>
      <c r="AA31" s="244"/>
      <c r="AB31" s="244"/>
    </row>
    <row r="32" spans="1:28" ht="13.35" customHeight="1">
      <c r="A32" s="50" t="s">
        <v>5</v>
      </c>
      <c r="B32" s="141"/>
      <c r="C32" s="80"/>
      <c r="D32" s="93"/>
      <c r="E32" s="226"/>
      <c r="F32" s="89"/>
      <c r="G32" s="81"/>
      <c r="H32" s="82"/>
      <c r="I32" s="83" t="str">
        <f t="shared" si="2"/>
        <v/>
      </c>
      <c r="J32" s="361" t="str">
        <f t="shared" si="3"/>
        <v/>
      </c>
      <c r="K32" s="200">
        <v>29</v>
      </c>
      <c r="L32" s="133">
        <f t="shared" si="4"/>
        <v>0</v>
      </c>
      <c r="M32" s="135" t="s">
        <v>5</v>
      </c>
      <c r="O32" s="244"/>
      <c r="P32" s="244"/>
      <c r="Q32" s="244"/>
      <c r="R32" s="244"/>
      <c r="S32" s="244"/>
      <c r="T32" s="244"/>
      <c r="U32" s="244"/>
      <c r="V32" s="244"/>
      <c r="W32" s="244"/>
      <c r="X32" s="244"/>
      <c r="Y32" s="244"/>
      <c r="Z32" s="244"/>
      <c r="AA32" s="244"/>
      <c r="AB32" s="244"/>
    </row>
    <row r="33" spans="1:28" ht="13.35" customHeight="1">
      <c r="A33" s="50" t="s">
        <v>5</v>
      </c>
      <c r="B33" s="141"/>
      <c r="C33" s="80"/>
      <c r="D33" s="93"/>
      <c r="E33" s="226"/>
      <c r="F33" s="89"/>
      <c r="G33" s="81"/>
      <c r="H33" s="82"/>
      <c r="I33" s="83" t="str">
        <f t="shared" si="2"/>
        <v/>
      </c>
      <c r="J33" s="361" t="str">
        <f t="shared" si="3"/>
        <v/>
      </c>
      <c r="K33" s="200">
        <v>30</v>
      </c>
      <c r="L33" s="133">
        <f t="shared" si="4"/>
        <v>0</v>
      </c>
      <c r="M33" s="135" t="s">
        <v>5</v>
      </c>
      <c r="O33" s="244"/>
      <c r="P33" s="244"/>
      <c r="Q33" s="244"/>
      <c r="R33" s="244"/>
      <c r="S33" s="244"/>
      <c r="T33" s="244"/>
      <c r="U33" s="244"/>
      <c r="V33" s="244"/>
      <c r="W33" s="244"/>
      <c r="X33" s="244"/>
      <c r="Y33" s="244"/>
      <c r="Z33" s="244"/>
      <c r="AA33" s="244"/>
      <c r="AB33" s="244"/>
    </row>
    <row r="34" spans="1:28" ht="13.35" customHeight="1">
      <c r="A34" s="50" t="s">
        <v>5</v>
      </c>
      <c r="B34" s="141"/>
      <c r="C34" s="80"/>
      <c r="D34" s="93"/>
      <c r="E34" s="226"/>
      <c r="F34" s="89"/>
      <c r="G34" s="81"/>
      <c r="H34" s="82"/>
      <c r="I34" s="83" t="str">
        <f t="shared" si="2"/>
        <v/>
      </c>
      <c r="J34" s="361" t="str">
        <f t="shared" si="3"/>
        <v/>
      </c>
      <c r="K34" s="200">
        <v>31</v>
      </c>
      <c r="L34" s="133">
        <f t="shared" si="4"/>
        <v>0</v>
      </c>
      <c r="M34" s="135" t="s">
        <v>5</v>
      </c>
      <c r="O34" s="244"/>
      <c r="P34" s="244"/>
      <c r="Q34" s="244"/>
      <c r="R34" s="244"/>
      <c r="S34" s="244"/>
      <c r="T34" s="244"/>
      <c r="U34" s="244"/>
      <c r="V34" s="244"/>
      <c r="W34" s="244"/>
      <c r="X34" s="244"/>
      <c r="Y34" s="244"/>
      <c r="Z34" s="244"/>
      <c r="AA34" s="244"/>
      <c r="AB34" s="244"/>
    </row>
    <row r="35" spans="1:28" ht="13.35" customHeight="1">
      <c r="A35" s="50" t="s">
        <v>5</v>
      </c>
      <c r="B35" s="141"/>
      <c r="C35" s="80"/>
      <c r="D35" s="93"/>
      <c r="E35" s="226"/>
      <c r="F35" s="89"/>
      <c r="G35" s="81"/>
      <c r="H35" s="82"/>
      <c r="I35" s="83" t="str">
        <f t="shared" si="2"/>
        <v/>
      </c>
      <c r="J35" s="361" t="str">
        <f t="shared" si="3"/>
        <v/>
      </c>
      <c r="K35" s="200">
        <v>32</v>
      </c>
      <c r="L35" s="133">
        <f t="shared" si="4"/>
        <v>0</v>
      </c>
      <c r="M35" s="135" t="s">
        <v>5</v>
      </c>
      <c r="O35" s="244"/>
      <c r="P35" s="244"/>
      <c r="Q35" s="244"/>
      <c r="R35" s="244"/>
      <c r="S35" s="244"/>
      <c r="T35" s="244"/>
      <c r="U35" s="244"/>
      <c r="V35" s="244"/>
      <c r="W35" s="244"/>
      <c r="X35" s="244"/>
      <c r="Y35" s="244"/>
      <c r="Z35" s="244"/>
      <c r="AA35" s="244"/>
      <c r="AB35" s="244"/>
    </row>
    <row r="36" spans="1:28" ht="13.35" customHeight="1">
      <c r="A36" s="50" t="s">
        <v>5</v>
      </c>
      <c r="B36" s="141"/>
      <c r="C36" s="80"/>
      <c r="D36" s="93"/>
      <c r="E36" s="226"/>
      <c r="F36" s="89"/>
      <c r="G36" s="81"/>
      <c r="H36" s="82"/>
      <c r="I36" s="83" t="str">
        <f t="shared" si="2"/>
        <v/>
      </c>
      <c r="J36" s="361" t="str">
        <f t="shared" si="3"/>
        <v/>
      </c>
      <c r="K36" s="200">
        <v>33</v>
      </c>
      <c r="L36" s="133">
        <f t="shared" si="4"/>
        <v>0</v>
      </c>
      <c r="M36" s="135" t="s">
        <v>5</v>
      </c>
      <c r="O36" s="244"/>
      <c r="P36" s="244"/>
      <c r="Q36" s="244"/>
      <c r="R36" s="244"/>
      <c r="S36" s="244"/>
      <c r="T36" s="244"/>
      <c r="U36" s="244"/>
      <c r="V36" s="244"/>
      <c r="W36" s="244"/>
      <c r="X36" s="244"/>
      <c r="Y36" s="244"/>
      <c r="Z36" s="244"/>
      <c r="AA36" s="244"/>
      <c r="AB36" s="244"/>
    </row>
    <row r="37" spans="1:28" ht="13.35" customHeight="1">
      <c r="A37" s="50" t="s">
        <v>5</v>
      </c>
      <c r="B37" s="141"/>
      <c r="C37" s="80"/>
      <c r="D37" s="93"/>
      <c r="E37" s="226"/>
      <c r="F37" s="89"/>
      <c r="G37" s="81"/>
      <c r="H37" s="82"/>
      <c r="I37" s="83" t="str">
        <f t="shared" si="2"/>
        <v/>
      </c>
      <c r="J37" s="361" t="str">
        <f t="shared" si="3"/>
        <v/>
      </c>
      <c r="K37" s="200">
        <v>34</v>
      </c>
      <c r="L37" s="133">
        <f t="shared" si="4"/>
        <v>0</v>
      </c>
      <c r="M37" s="135" t="s">
        <v>5</v>
      </c>
      <c r="O37" s="244"/>
      <c r="P37" s="244"/>
      <c r="Q37" s="244"/>
      <c r="R37" s="244"/>
      <c r="S37" s="244"/>
      <c r="T37" s="244"/>
      <c r="U37" s="244"/>
      <c r="V37" s="244"/>
      <c r="W37" s="244"/>
      <c r="X37" s="244"/>
      <c r="Y37" s="244"/>
      <c r="Z37" s="244"/>
      <c r="AA37" s="244"/>
      <c r="AB37" s="244"/>
    </row>
    <row r="38" spans="1:28" ht="13.35" customHeight="1">
      <c r="A38" s="50" t="s">
        <v>5</v>
      </c>
      <c r="B38" s="141"/>
      <c r="C38" s="80"/>
      <c r="D38" s="93"/>
      <c r="E38" s="226"/>
      <c r="F38" s="89"/>
      <c r="G38" s="81"/>
      <c r="H38" s="82"/>
      <c r="I38" s="83" t="str">
        <f t="shared" si="2"/>
        <v/>
      </c>
      <c r="J38" s="361" t="str">
        <f t="shared" si="3"/>
        <v/>
      </c>
      <c r="K38" s="200">
        <v>35</v>
      </c>
      <c r="L38" s="133">
        <f t="shared" si="4"/>
        <v>0</v>
      </c>
      <c r="M38" s="135" t="s">
        <v>5</v>
      </c>
      <c r="O38" s="244"/>
      <c r="P38" s="244"/>
      <c r="Q38" s="244"/>
      <c r="R38" s="244"/>
      <c r="S38" s="244"/>
      <c r="T38" s="244"/>
      <c r="U38" s="244"/>
      <c r="V38" s="244"/>
      <c r="W38" s="244"/>
      <c r="X38" s="244"/>
      <c r="Y38" s="244"/>
      <c r="Z38" s="244"/>
      <c r="AA38" s="244"/>
      <c r="AB38" s="244"/>
    </row>
    <row r="39" spans="1:28" ht="13.35" customHeight="1">
      <c r="A39" s="50" t="s">
        <v>5</v>
      </c>
      <c r="B39" s="141"/>
      <c r="C39" s="80"/>
      <c r="D39" s="93"/>
      <c r="E39" s="226"/>
      <c r="F39" s="89"/>
      <c r="G39" s="81"/>
      <c r="H39" s="82"/>
      <c r="I39" s="83" t="str">
        <f t="shared" si="2"/>
        <v/>
      </c>
      <c r="J39" s="361" t="str">
        <f t="shared" si="3"/>
        <v/>
      </c>
      <c r="K39" s="200">
        <v>36</v>
      </c>
      <c r="L39" s="133">
        <f t="shared" si="4"/>
        <v>0</v>
      </c>
      <c r="M39" s="135" t="s">
        <v>5</v>
      </c>
      <c r="O39" s="244"/>
      <c r="P39" s="244"/>
      <c r="Q39" s="244"/>
      <c r="R39" s="244"/>
      <c r="S39" s="244"/>
      <c r="T39" s="244"/>
      <c r="U39" s="244"/>
      <c r="V39" s="244"/>
      <c r="W39" s="244"/>
      <c r="X39" s="244"/>
      <c r="Y39" s="244"/>
      <c r="Z39" s="244"/>
      <c r="AA39" s="244"/>
      <c r="AB39" s="244"/>
    </row>
    <row r="40" spans="1:28" ht="13.35" customHeight="1">
      <c r="A40" s="50" t="s">
        <v>5</v>
      </c>
      <c r="B40" s="141"/>
      <c r="C40" s="80"/>
      <c r="D40" s="93"/>
      <c r="E40" s="226"/>
      <c r="F40" s="89"/>
      <c r="G40" s="81"/>
      <c r="H40" s="82"/>
      <c r="I40" s="83" t="str">
        <f t="shared" si="2"/>
        <v/>
      </c>
      <c r="J40" s="361" t="str">
        <f t="shared" si="3"/>
        <v/>
      </c>
      <c r="K40" s="200">
        <v>37</v>
      </c>
      <c r="L40" s="133">
        <f t="shared" si="4"/>
        <v>0</v>
      </c>
      <c r="M40" s="135" t="s">
        <v>5</v>
      </c>
      <c r="O40" s="244"/>
      <c r="P40" s="244"/>
      <c r="Q40" s="244"/>
      <c r="R40" s="244"/>
      <c r="S40" s="244"/>
      <c r="T40" s="244"/>
      <c r="U40" s="244"/>
      <c r="V40" s="244"/>
      <c r="W40" s="244"/>
      <c r="X40" s="244"/>
      <c r="Y40" s="244"/>
      <c r="Z40" s="244"/>
      <c r="AA40" s="244"/>
      <c r="AB40" s="244"/>
    </row>
    <row r="41" spans="1:28" ht="13.35" customHeight="1">
      <c r="A41" s="50" t="s">
        <v>5</v>
      </c>
      <c r="B41" s="141"/>
      <c r="C41" s="80"/>
      <c r="D41" s="93"/>
      <c r="E41" s="226"/>
      <c r="F41" s="89"/>
      <c r="G41" s="81"/>
      <c r="H41" s="82"/>
      <c r="I41" s="83" t="str">
        <f t="shared" si="2"/>
        <v/>
      </c>
      <c r="J41" s="361" t="str">
        <f t="shared" si="3"/>
        <v/>
      </c>
      <c r="K41" s="200">
        <v>38</v>
      </c>
      <c r="L41" s="133">
        <f t="shared" si="4"/>
        <v>0</v>
      </c>
      <c r="M41" s="135" t="s">
        <v>5</v>
      </c>
      <c r="O41" s="244"/>
      <c r="P41" s="244"/>
      <c r="Q41" s="244"/>
      <c r="R41" s="244"/>
      <c r="S41" s="244"/>
      <c r="T41" s="244"/>
      <c r="U41" s="244"/>
      <c r="V41" s="244"/>
      <c r="W41" s="244"/>
      <c r="X41" s="244"/>
      <c r="Y41" s="244"/>
      <c r="Z41" s="244"/>
      <c r="AA41" s="244"/>
      <c r="AB41" s="244"/>
    </row>
    <row r="42" spans="1:28" ht="13.35" customHeight="1">
      <c r="A42" s="50" t="s">
        <v>5</v>
      </c>
      <c r="B42" s="141"/>
      <c r="C42" s="80"/>
      <c r="D42" s="93"/>
      <c r="E42" s="226"/>
      <c r="F42" s="89"/>
      <c r="G42" s="81"/>
      <c r="H42" s="82"/>
      <c r="I42" s="83" t="str">
        <f t="shared" si="2"/>
        <v/>
      </c>
      <c r="J42" s="361" t="str">
        <f t="shared" si="3"/>
        <v/>
      </c>
      <c r="K42" s="200">
        <v>39</v>
      </c>
      <c r="L42" s="133">
        <f t="shared" si="4"/>
        <v>0</v>
      </c>
      <c r="M42" s="135" t="s">
        <v>5</v>
      </c>
      <c r="O42" s="244"/>
      <c r="P42" s="244"/>
      <c r="Q42" s="244"/>
      <c r="R42" s="244"/>
      <c r="S42" s="244"/>
      <c r="T42" s="244"/>
      <c r="U42" s="244"/>
      <c r="V42" s="244"/>
      <c r="W42" s="244"/>
      <c r="X42" s="244"/>
      <c r="Y42" s="244"/>
      <c r="Z42" s="244"/>
      <c r="AA42" s="244"/>
      <c r="AB42" s="244"/>
    </row>
    <row r="43" spans="1:28" ht="13.35" customHeight="1">
      <c r="A43" s="50" t="s">
        <v>5</v>
      </c>
      <c r="B43" s="141"/>
      <c r="C43" s="80"/>
      <c r="D43" s="93"/>
      <c r="E43" s="226"/>
      <c r="F43" s="89"/>
      <c r="G43" s="81"/>
      <c r="H43" s="82"/>
      <c r="I43" s="83" t="str">
        <f t="shared" si="2"/>
        <v/>
      </c>
      <c r="J43" s="361" t="str">
        <f t="shared" si="3"/>
        <v/>
      </c>
      <c r="K43" s="200">
        <v>40</v>
      </c>
      <c r="L43" s="133">
        <f t="shared" si="4"/>
        <v>0</v>
      </c>
      <c r="M43" s="135" t="s">
        <v>5</v>
      </c>
      <c r="O43" s="244"/>
      <c r="P43" s="244"/>
      <c r="Q43" s="244"/>
      <c r="R43" s="244"/>
      <c r="S43" s="244"/>
      <c r="T43" s="244"/>
      <c r="U43" s="244"/>
      <c r="V43" s="244"/>
      <c r="W43" s="244"/>
      <c r="X43" s="244"/>
      <c r="Y43" s="244"/>
      <c r="Z43" s="244"/>
      <c r="AA43" s="244"/>
      <c r="AB43" s="244"/>
    </row>
    <row r="44" spans="1:28" ht="13.35" customHeight="1">
      <c r="A44" s="50" t="s">
        <v>5</v>
      </c>
      <c r="B44" s="141"/>
      <c r="C44" s="80"/>
      <c r="D44" s="93"/>
      <c r="E44" s="226"/>
      <c r="F44" s="89"/>
      <c r="G44" s="81"/>
      <c r="H44" s="82"/>
      <c r="I44" s="83" t="str">
        <f t="shared" si="2"/>
        <v/>
      </c>
      <c r="J44" s="361" t="str">
        <f t="shared" si="3"/>
        <v/>
      </c>
      <c r="K44" s="200">
        <v>41</v>
      </c>
      <c r="L44" s="133">
        <f t="shared" si="4"/>
        <v>0</v>
      </c>
      <c r="M44" s="135" t="s">
        <v>5</v>
      </c>
      <c r="O44" s="244"/>
      <c r="P44" s="244"/>
      <c r="Q44" s="244"/>
      <c r="R44" s="244"/>
      <c r="S44" s="244"/>
      <c r="T44" s="244"/>
      <c r="U44" s="244"/>
      <c r="V44" s="244"/>
      <c r="W44" s="244"/>
      <c r="X44" s="244"/>
      <c r="Y44" s="244"/>
      <c r="Z44" s="244"/>
      <c r="AA44" s="244"/>
      <c r="AB44" s="244"/>
    </row>
    <row r="45" spans="1:28" ht="13.35" customHeight="1">
      <c r="A45" s="50" t="s">
        <v>5</v>
      </c>
      <c r="B45" s="141"/>
      <c r="C45" s="80"/>
      <c r="D45" s="93"/>
      <c r="E45" s="226"/>
      <c r="F45" s="89"/>
      <c r="G45" s="81"/>
      <c r="H45" s="82"/>
      <c r="I45" s="83" t="str">
        <f t="shared" ref="I45:I46" si="7">IF(G45&lt;&gt;"",+G45-G45/(1+H45/100),"")</f>
        <v/>
      </c>
      <c r="J45" s="361" t="str">
        <f t="shared" ref="J45:J46" si="8">IF(G45&lt;&gt;0,+G45-I45,"")</f>
        <v/>
      </c>
      <c r="K45" s="200">
        <v>44</v>
      </c>
      <c r="L45" s="133">
        <f t="shared" ref="L45:L46" si="9">IF(B45&lt;$O$2,0,IF(B45&lt;$P$2,1,IF(B45&lt;$Q$2,2,IF(B45&lt;$R$2,3,IF(B45&lt;$S$2,4,IF(B45&lt;$T$2,5,IF(B45&lt;$U$2,6,IF(B45&lt;$V$2,7,IF(B45&lt;$W$2,8,IF(B45&lt;$X$2,9,IF(B45&lt;$Y$2,10,IF(B45&lt;$Z$2,11,IF(B45&lt;=$Z$3,12,0)))))))))))))</f>
        <v>0</v>
      </c>
      <c r="M45" s="135" t="s">
        <v>5</v>
      </c>
      <c r="O45" s="244"/>
      <c r="P45" s="244"/>
      <c r="Q45" s="244"/>
      <c r="R45" s="244"/>
      <c r="S45" s="244"/>
      <c r="T45" s="244"/>
      <c r="U45" s="244"/>
      <c r="V45" s="244"/>
      <c r="W45" s="244"/>
      <c r="X45" s="244"/>
      <c r="Y45" s="244"/>
      <c r="Z45" s="244"/>
      <c r="AA45" s="244"/>
      <c r="AB45" s="244"/>
    </row>
    <row r="46" spans="1:28" ht="13.35" customHeight="1" thickBot="1">
      <c r="A46" s="50" t="s">
        <v>5</v>
      </c>
      <c r="B46" s="141"/>
      <c r="C46" s="80"/>
      <c r="D46" s="93"/>
      <c r="E46" s="226"/>
      <c r="F46" s="89"/>
      <c r="G46" s="81"/>
      <c r="H46" s="82"/>
      <c r="I46" s="83" t="str">
        <f t="shared" si="7"/>
        <v/>
      </c>
      <c r="J46" s="361" t="str">
        <f t="shared" si="8"/>
        <v/>
      </c>
      <c r="K46" s="200">
        <v>45</v>
      </c>
      <c r="L46" s="133">
        <f t="shared" si="9"/>
        <v>0</v>
      </c>
      <c r="M46" s="135" t="s">
        <v>5</v>
      </c>
      <c r="O46" s="244"/>
      <c r="P46" s="244"/>
      <c r="Q46" s="244"/>
      <c r="R46" s="244"/>
      <c r="S46" s="244"/>
      <c r="T46" s="244"/>
      <c r="U46" s="244"/>
      <c r="V46" s="244"/>
      <c r="W46" s="244"/>
      <c r="X46" s="244"/>
      <c r="Y46" s="244"/>
      <c r="Z46" s="244"/>
      <c r="AA46" s="244"/>
      <c r="AB46" s="244"/>
    </row>
    <row r="47" spans="1:28" ht="12" customHeight="1" thickTop="1" thickBot="1">
      <c r="A47" s="391" t="s">
        <v>283</v>
      </c>
      <c r="B47" s="1244" t="str">
        <f>IF($A$48=0,"^ Zeile einfügen","bis hierher ziehen!")</f>
        <v>^ Zeile einfügen</v>
      </c>
      <c r="C47" s="1244"/>
      <c r="D47" s="392" t="s">
        <v>5</v>
      </c>
      <c r="E47" s="393" t="s">
        <v>5</v>
      </c>
      <c r="F47" s="394" t="s">
        <v>5</v>
      </c>
      <c r="G47" s="394"/>
      <c r="H47" s="395"/>
      <c r="I47" s="396"/>
      <c r="J47" s="425"/>
      <c r="K47" s="201">
        <v>0</v>
      </c>
      <c r="L47" s="185" t="s">
        <v>5</v>
      </c>
      <c r="M47" s="398" t="s">
        <v>283</v>
      </c>
    </row>
    <row r="48" spans="1:28" ht="12" customHeight="1" thickTop="1" thickBot="1">
      <c r="A48" s="390">
        <f>COUNTBLANK(A3:A47)+A49</f>
        <v>0</v>
      </c>
      <c r="B48" s="193" t="str">
        <f>+EÜR!C33</f>
        <v>ü</v>
      </c>
      <c r="C48" s="194" t="s">
        <v>5</v>
      </c>
      <c r="D48" s="194" t="s">
        <v>5</v>
      </c>
      <c r="E48" s="195" t="s">
        <v>5</v>
      </c>
      <c r="F48" s="196" t="s">
        <v>5</v>
      </c>
      <c r="G48" s="197">
        <f>SUBTOTAL(9,G3:G47)</f>
        <v>0</v>
      </c>
      <c r="H48" s="1242">
        <f>SUBTOTAL(9,I3:I47)</f>
        <v>0</v>
      </c>
      <c r="I48" s="1243">
        <f>SUBTOTAL(9,I3:I47)</f>
        <v>0</v>
      </c>
      <c r="J48" s="1293">
        <f>G48-H48</f>
        <v>0</v>
      </c>
      <c r="K48" s="1294"/>
      <c r="L48" s="1295"/>
      <c r="M48" s="135" t="s">
        <v>5</v>
      </c>
    </row>
    <row r="49" spans="1:14" ht="12" customHeight="1" thickTop="1" thickBot="1">
      <c r="A49" s="390">
        <f>IF(ISERROR(J47),1,0)</f>
        <v>0</v>
      </c>
      <c r="B49" s="192">
        <f>J48-G49-E49-C49</f>
        <v>0</v>
      </c>
      <c r="C49" s="1239">
        <f>SUMIF(F4:F47,"Kreditkarte",G4:G47)</f>
        <v>0</v>
      </c>
      <c r="D49" s="1239"/>
      <c r="E49" s="1240">
        <f>SUMIF(F4:F47,"Konto",G4:G47)</f>
        <v>0</v>
      </c>
      <c r="F49" s="1240"/>
      <c r="G49" s="1241">
        <f>SUMIF(F4:F47,"Geldbeutel",G4:G47)</f>
        <v>0</v>
      </c>
      <c r="H49" s="1241"/>
      <c r="I49" s="1241"/>
      <c r="J49" s="1296"/>
      <c r="K49" s="1297"/>
      <c r="L49" s="1298"/>
      <c r="M49" s="135" t="s">
        <v>5</v>
      </c>
    </row>
    <row r="50" spans="1:14" s="15" customFormat="1" ht="5.25" customHeight="1" thickTop="1">
      <c r="A50" s="36"/>
      <c r="B50" s="2"/>
      <c r="C50" s="3"/>
      <c r="D50" s="3"/>
      <c r="E50" s="1"/>
      <c r="G50" s="16"/>
      <c r="H50" s="16"/>
      <c r="I50" s="17"/>
      <c r="J50" s="18"/>
      <c r="K50" s="18"/>
      <c r="L50" s="31"/>
      <c r="N50" s="148"/>
    </row>
    <row r="51" spans="1:14">
      <c r="A51" s="36"/>
    </row>
  </sheetData>
  <sheetProtection formatCells="0" insertRows="0" deleteRows="0" selectLockedCells="1" sort="0" autoFilter="0"/>
  <mergeCells count="15">
    <mergeCell ref="C2:I2"/>
    <mergeCell ref="J2:L2"/>
    <mergeCell ref="AA9:AB9"/>
    <mergeCell ref="O10:Z10"/>
    <mergeCell ref="O11:Z11"/>
    <mergeCell ref="AA4:AB4"/>
    <mergeCell ref="AA13:AB13"/>
    <mergeCell ref="O14:Z14"/>
    <mergeCell ref="AA14:AB14"/>
    <mergeCell ref="J48:L49"/>
    <mergeCell ref="C49:D49"/>
    <mergeCell ref="E49:F49"/>
    <mergeCell ref="G49:I49"/>
    <mergeCell ref="H48:I48"/>
    <mergeCell ref="B47:C47"/>
  </mergeCells>
  <conditionalFormatting sqref="A4:A46">
    <cfRule type="expression" dxfId="974" priority="22">
      <formula>ISERROR(J4)</formula>
    </cfRule>
    <cfRule type="cellIs" dxfId="973" priority="23" operator="equal">
      <formula>""</formula>
    </cfRule>
  </conditionalFormatting>
  <conditionalFormatting sqref="A47:C47">
    <cfRule type="expression" dxfId="972" priority="7">
      <formula>$A$48&lt;&gt;0</formula>
    </cfRule>
  </conditionalFormatting>
  <conditionalFormatting sqref="B2">
    <cfRule type="expression" dxfId="971" priority="49" stopIfTrue="1">
      <formula>$B$48="x"</formula>
    </cfRule>
  </conditionalFormatting>
  <conditionalFormatting sqref="B4:B46">
    <cfRule type="cellIs" dxfId="968" priority="36" operator="equal">
      <formula>""</formula>
    </cfRule>
  </conditionalFormatting>
  <conditionalFormatting sqref="B48">
    <cfRule type="cellIs" dxfId="967" priority="72" operator="equal">
      <formula>"y"</formula>
    </cfRule>
  </conditionalFormatting>
  <conditionalFormatting sqref="B3:J3">
    <cfRule type="expression" dxfId="966" priority="10452">
      <formula>$B$48="x"</formula>
    </cfRule>
  </conditionalFormatting>
  <conditionalFormatting sqref="B4:J46">
    <cfRule type="expression" dxfId="965" priority="32">
      <formula>$B$1="x"</formula>
    </cfRule>
  </conditionalFormatting>
  <conditionalFormatting sqref="B3:L3">
    <cfRule type="expression" dxfId="964" priority="66">
      <formula>$B$48="x"</formula>
    </cfRule>
  </conditionalFormatting>
  <conditionalFormatting sqref="C4:D46">
    <cfRule type="expression" dxfId="963" priority="39">
      <formula>AND($B4&lt;&gt;"",$C4="")</formula>
    </cfRule>
  </conditionalFormatting>
  <conditionalFormatting sqref="C49:I49">
    <cfRule type="cellIs" dxfId="962" priority="71" stopIfTrue="1" operator="lessThan">
      <formula>0</formula>
    </cfRule>
    <cfRule type="cellIs" dxfId="961" priority="69" stopIfTrue="1" operator="greaterThanOrEqual">
      <formula>0</formula>
    </cfRule>
  </conditionalFormatting>
  <conditionalFormatting sqref="D47:J47">
    <cfRule type="expression" dxfId="960" priority="9">
      <formula>$A$48&lt;&gt;0</formula>
    </cfRule>
  </conditionalFormatting>
  <conditionalFormatting sqref="H4:H46">
    <cfRule type="expression" dxfId="959" priority="35">
      <formula>AND(G4&lt;&gt;"",H4="",$I$1&lt;&gt;"x")</formula>
    </cfRule>
  </conditionalFormatting>
  <conditionalFormatting sqref="H4:I46">
    <cfRule type="expression" dxfId="958" priority="33">
      <formula>AND($I4&lt;&gt;0,$I$1&lt;&gt;"ü")</formula>
    </cfRule>
    <cfRule type="expression" dxfId="957" priority="34">
      <formula>$I$1&lt;&gt;"ü"</formula>
    </cfRule>
  </conditionalFormatting>
  <conditionalFormatting sqref="J48:L48 C49:L49 C48:H48">
    <cfRule type="expression" dxfId="955" priority="68">
      <formula>$B$48="x"</formula>
    </cfRule>
  </conditionalFormatting>
  <conditionalFormatting sqref="J48:L49">
    <cfRule type="expression" dxfId="954" priority="67">
      <formula>AND($B$48="x",$J$48&lt;&gt;0)</formula>
    </cfRule>
  </conditionalFormatting>
  <conditionalFormatting sqref="K4:L46">
    <cfRule type="expression" dxfId="953" priority="16922">
      <formula>$B$48="x"</formula>
    </cfRule>
  </conditionalFormatting>
  <conditionalFormatting sqref="M3">
    <cfRule type="cellIs" dxfId="952" priority="31" operator="equal">
      <formula>""</formula>
    </cfRule>
  </conditionalFormatting>
  <conditionalFormatting sqref="M4:M46">
    <cfRule type="expression" dxfId="951" priority="29">
      <formula>ISERROR(J4)</formula>
    </cfRule>
    <cfRule type="cellIs" dxfId="950" priority="30" operator="equal">
      <formula>""</formula>
    </cfRule>
  </conditionalFormatting>
  <conditionalFormatting sqref="M47">
    <cfRule type="expression" dxfId="949" priority="8">
      <formula>$A$48&lt;&gt;0</formula>
    </cfRule>
  </conditionalFormatting>
  <conditionalFormatting sqref="M47:M49">
    <cfRule type="cellIs" dxfId="948" priority="11" operator="equal">
      <formula>""</formula>
    </cfRule>
  </conditionalFormatting>
  <conditionalFormatting sqref="N10:AB10">
    <cfRule type="expression" dxfId="947" priority="6">
      <formula>$N$2=0</formula>
    </cfRule>
  </conditionalFormatting>
  <conditionalFormatting sqref="O11:Z11">
    <cfRule type="cellIs" dxfId="946" priority="53" operator="equal">
      <formula>"Fehler!"</formula>
    </cfRule>
  </conditionalFormatting>
  <conditionalFormatting sqref="O4:AA4">
    <cfRule type="expression" dxfId="942" priority="48">
      <formula>$N$2=0</formula>
    </cfRule>
  </conditionalFormatting>
  <conditionalFormatting sqref="O2:AB3">
    <cfRule type="expression" dxfId="940" priority="1">
      <formula>$N$2=0</formula>
    </cfRule>
  </conditionalFormatting>
  <conditionalFormatting sqref="O5:AB8 O9:AA9">
    <cfRule type="expression" dxfId="939" priority="52">
      <formula>$N$2=0</formula>
    </cfRule>
  </conditionalFormatting>
  <conditionalFormatting sqref="O11:AB14">
    <cfRule type="expression" dxfId="938" priority="3">
      <formula>$N$2=0</formula>
    </cfRule>
  </conditionalFormatting>
  <conditionalFormatting sqref="O47:AB49">
    <cfRule type="expression" dxfId="937" priority="10">
      <formula>$N$2=0</formula>
    </cfRule>
  </conditionalFormatting>
  <dataValidations count="2">
    <dataValidation type="list" allowBlank="1" showInputMessage="1" showErrorMessage="1" sqref="F4:F46" xr:uid="{2034C8BB-2729-4D04-81FB-0324F1071B4F}">
      <formula1>"Konto,Geldbeutel,Kreditkarte,x"</formula1>
    </dataValidation>
    <dataValidation type="list" allowBlank="1" showInputMessage="1" showErrorMessage="1" sqref="H4:H46" xr:uid="{E0B5649E-C937-4660-BCED-3C283E0EEB15}">
      <formula1>"19,7,0,~"</formula1>
    </dataValidation>
  </dataValidations>
  <hyperlinks>
    <hyperlink ref="J2" location="'2022 EÜR'!A1" display="Menü" xr:uid="{1A23FA50-03E5-495A-9E7B-5B71508E5565}"/>
    <hyperlink ref="J2:L2" location="EÜR!A1" display="EÜR" xr:uid="{9967AD00-B798-4F7F-BDF9-7C1F021EE2B8}"/>
  </hyperlinks>
  <printOptions horizontalCentered="1"/>
  <pageMargins left="0" right="0" top="0" bottom="0.31496062992125984" header="0" footer="0"/>
  <pageSetup paperSize="9" orientation="portrait" r:id="rId1"/>
  <headerFooter>
    <oddFooter>&amp;L&amp;"Arial,Standard"&amp;8Datei: &amp;Z&amp;F/&amp;A&amp;C&amp;"Arial,Standard"&amp;8Seite &amp;P von &amp;N&amp;R&amp;"Arial,Standard"&amp;8Druck: &amp;D&amp;T Uhr</oddFooter>
  </headerFooter>
  <extLst>
    <ext xmlns:x14="http://schemas.microsoft.com/office/spreadsheetml/2009/9/main" uri="{78C0D931-6437-407d-A8EE-F0AAD7539E65}">
      <x14:conditionalFormattings>
        <x14:conditionalFormatting xmlns:xm="http://schemas.microsoft.com/office/excel/2006/main">
          <x14:cfRule type="cellIs" priority="37" operator="greaterThan" id="{D5149C76-6AEA-4109-8EE9-C2B6481F96F7}">
            <xm:f>EÜR!$I$78</xm:f>
            <x14:dxf>
              <font>
                <b/>
                <i val="0"/>
                <color rgb="FFFFFF00"/>
              </font>
              <fill>
                <patternFill>
                  <bgColor rgb="FFC00000"/>
                </patternFill>
              </fill>
            </x14:dxf>
          </x14:cfRule>
          <x14:cfRule type="cellIs" priority="38" operator="lessThan" id="{0E9FA9EA-9E0B-4667-8C3A-2EC3456D60E7}">
            <xm:f>EÜR!$I$77</xm:f>
            <x14:dxf>
              <font>
                <b/>
                <i val="0"/>
                <color rgb="FFFFFF00"/>
              </font>
              <fill>
                <patternFill>
                  <bgColor rgb="FFC00000"/>
                </patternFill>
              </fill>
            </x14:dxf>
          </x14:cfRule>
          <xm:sqref>B4:B46</xm:sqref>
        </x14:conditionalFormatting>
        <x14:conditionalFormatting xmlns:xm="http://schemas.microsoft.com/office/excel/2006/main">
          <x14:cfRule type="expression" priority="50" id="{A2A3ACFA-4039-46FA-A6BF-8F73BADE846F}">
            <xm:f>AND(EÜR!$J$66&lt;&gt;"ü",$H$48&lt;&gt;0)</xm:f>
            <x14:dxf>
              <font>
                <b/>
                <i val="0"/>
                <color rgb="FFFFFF00"/>
              </font>
              <fill>
                <patternFill>
                  <bgColor rgb="FFFF0000"/>
                </patternFill>
              </fill>
            </x14:dxf>
          </x14:cfRule>
          <xm:sqref>H48:I48</xm:sqref>
        </x14:conditionalFormatting>
        <x14:conditionalFormatting xmlns:xm="http://schemas.microsoft.com/office/excel/2006/main">
          <x14:cfRule type="expression" priority="54" id="{A3B44544-DF3B-4E9B-A54C-A335A7BE94EB}">
            <xm:f>AND(O13&lt;&gt;0,U!L36="!",U!L37="!")</xm:f>
            <x14:dxf>
              <font>
                <b/>
                <i val="0"/>
                <color rgb="FFFF0000"/>
              </font>
              <fill>
                <patternFill>
                  <bgColor rgb="FFFFCCCC"/>
                </patternFill>
              </fill>
            </x14:dxf>
          </x14:cfRule>
          <x14:cfRule type="expression" priority="55" id="{97C40F71-46E7-45CD-B281-7AE9440E8613}">
            <xm:f>U!L37&lt;&gt;"!"</xm:f>
            <x14:dxf>
              <font>
                <b/>
                <i val="0"/>
                <color rgb="FF006666"/>
              </font>
              <fill>
                <patternFill>
                  <bgColor theme="6" tint="0.39994506668294322"/>
                </patternFill>
              </fill>
            </x14:dxf>
          </x14:cfRule>
          <x14:cfRule type="expression" priority="56" id="{D7ACE126-B7A3-455B-ADD3-1924A91AFEDC}">
            <xm:f>U!L36&lt;&gt;"!"</xm:f>
            <x14:dxf>
              <font>
                <b/>
                <i val="0"/>
                <color theme="9" tint="-0.499984740745262"/>
              </font>
              <fill>
                <patternFill>
                  <bgColor rgb="FFFFFF99"/>
                </patternFill>
              </fill>
            </x14:dxf>
          </x14:cfRule>
          <xm:sqref>O13:Z13</xm:sqref>
        </x14:conditionalFormatting>
        <x14:conditionalFormatting xmlns:xm="http://schemas.microsoft.com/office/excel/2006/main">
          <x14:cfRule type="expression" priority="2" id="{D9E24E44-CFDD-4354-B5FC-C206F1F06E78}">
            <xm:f>EÜR!$J$66="-"</xm:f>
            <x14:dxf>
              <font>
                <b/>
                <i val="0"/>
                <color theme="0"/>
              </font>
              <fill>
                <patternFill>
                  <bgColor theme="0"/>
                </patternFill>
              </fill>
              <border>
                <left/>
                <right/>
                <top/>
                <bottom/>
              </border>
            </x14:dxf>
          </x14:cfRule>
          <xm:sqref>O12:AA14</xm:sqref>
        </x14:conditionalFormatting>
      </x14:conditionalFormattings>
    </ext>
  </extLst>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32A5BA-CDC3-42FC-A278-D473E22788F5}">
  <sheetPr codeName="Tabelle21">
    <tabColor theme="9" tint="0.39997558519241921"/>
    <pageSetUpPr autoPageBreaks="0"/>
  </sheetPr>
  <dimension ref="A1:AB51"/>
  <sheetViews>
    <sheetView showGridLines="0" showRowColHeaders="0" zoomScaleNormal="100" workbookViewId="0">
      <pane ySplit="3" topLeftCell="A4" activePane="bottomLeft" state="frozen"/>
      <selection activeCell="F4" sqref="F4:F46"/>
      <selection pane="bottomLeft" activeCell="A4" sqref="A4"/>
    </sheetView>
  </sheetViews>
  <sheetFormatPr baseColWidth="10" defaultColWidth="9.77734375" defaultRowHeight="12.75"/>
  <cols>
    <col min="1" max="1" width="0.77734375" style="12" customWidth="1"/>
    <col min="2" max="2" width="7.6640625" style="30" customWidth="1"/>
    <col min="3" max="3" width="21.6640625" style="24" customWidth="1"/>
    <col min="4" max="4" width="7.6640625" style="24" customWidth="1"/>
    <col min="5" max="5" width="6.6640625" style="25" customWidth="1"/>
    <col min="6" max="6" width="9.6640625" style="26" customWidth="1"/>
    <col min="7" max="7" width="9.6640625" style="27" customWidth="1"/>
    <col min="8" max="8" width="2.6640625" style="28" customWidth="1"/>
    <col min="9" max="9" width="6.6640625" style="29" customWidth="1"/>
    <col min="10" max="10" width="9.6640625" style="27" customWidth="1"/>
    <col min="11" max="11" width="2.5546875" style="27" hidden="1" customWidth="1"/>
    <col min="12" max="12" width="1.5546875" style="32" hidden="1" customWidth="1"/>
    <col min="13" max="13" width="0.77734375" style="13" customWidth="1"/>
    <col min="14" max="14" width="1.77734375" style="147" customWidth="1"/>
    <col min="15" max="26" width="8.77734375" style="13" customWidth="1"/>
    <col min="27" max="27" width="10.33203125" style="13" customWidth="1"/>
    <col min="28" max="28" width="8.33203125" style="13" customWidth="1"/>
    <col min="29" max="16384" width="9.77734375" style="13"/>
  </cols>
  <sheetData>
    <row r="1" spans="1:28" s="37" customFormat="1" ht="3" customHeight="1" thickBot="1">
      <c r="A1" s="36"/>
      <c r="B1" s="53" t="str">
        <f>+B48</f>
        <v>ü</v>
      </c>
      <c r="C1" s="54">
        <f>+C49</f>
        <v>0</v>
      </c>
      <c r="D1" s="54"/>
      <c r="E1" s="53">
        <f>+E49</f>
        <v>0</v>
      </c>
      <c r="F1" s="53"/>
      <c r="G1" s="54">
        <f>+G49</f>
        <v>0</v>
      </c>
      <c r="H1" s="53"/>
      <c r="I1" s="338" t="str">
        <f>+EÜR!J66</f>
        <v>-</v>
      </c>
      <c r="J1" s="54">
        <f>+J48</f>
        <v>0</v>
      </c>
      <c r="K1" s="198"/>
      <c r="L1" s="56"/>
      <c r="N1" s="190"/>
    </row>
    <row r="2" spans="1:28" ht="23.1" customHeight="1" thickTop="1" thickBot="1">
      <c r="A2" s="36"/>
      <c r="B2" s="296" t="str">
        <f>+EÜR!D34</f>
        <v>A13</v>
      </c>
      <c r="C2" s="1302" t="str">
        <f>+EÜR!F34</f>
        <v>Erhaltungsaufwendungen</v>
      </c>
      <c r="D2" s="1303"/>
      <c r="E2" s="1303"/>
      <c r="F2" s="1303"/>
      <c r="G2" s="1303"/>
      <c r="H2" s="1303"/>
      <c r="I2" s="1304"/>
      <c r="J2" s="1227" t="s">
        <v>8</v>
      </c>
      <c r="K2" s="1228"/>
      <c r="L2" s="1229"/>
      <c r="M2" s="134"/>
      <c r="N2" s="190">
        <f>IF(OR(B48="x",N3=1),0,1)</f>
        <v>1</v>
      </c>
      <c r="O2" s="188">
        <f>+EOMONTH(EÜR!$I$3,-1)+1</f>
        <v>46023</v>
      </c>
      <c r="P2" s="188">
        <f t="shared" ref="P2:Z2" si="0">+O3+1</f>
        <v>46054</v>
      </c>
      <c r="Q2" s="188">
        <f t="shared" si="0"/>
        <v>46082</v>
      </c>
      <c r="R2" s="188">
        <f t="shared" si="0"/>
        <v>46113</v>
      </c>
      <c r="S2" s="188">
        <f t="shared" si="0"/>
        <v>46143</v>
      </c>
      <c r="T2" s="188">
        <f t="shared" si="0"/>
        <v>46174</v>
      </c>
      <c r="U2" s="188">
        <f t="shared" si="0"/>
        <v>46204</v>
      </c>
      <c r="V2" s="188">
        <f t="shared" si="0"/>
        <v>46235</v>
      </c>
      <c r="W2" s="188">
        <f t="shared" si="0"/>
        <v>46266</v>
      </c>
      <c r="X2" s="188">
        <f t="shared" si="0"/>
        <v>46296</v>
      </c>
      <c r="Y2" s="188">
        <f t="shared" si="0"/>
        <v>46327</v>
      </c>
      <c r="Z2" s="188">
        <f t="shared" si="0"/>
        <v>46357</v>
      </c>
      <c r="AA2" s="48"/>
    </row>
    <row r="3" spans="1:28" ht="14.25" customHeight="1" thickTop="1">
      <c r="A3" s="36" t="s">
        <v>5</v>
      </c>
      <c r="B3" s="58" t="s">
        <v>1</v>
      </c>
      <c r="C3" s="59" t="s">
        <v>6</v>
      </c>
      <c r="D3" s="60"/>
      <c r="E3" s="310" t="s">
        <v>7</v>
      </c>
      <c r="F3" s="61" t="s">
        <v>4</v>
      </c>
      <c r="G3" s="62" t="s">
        <v>31</v>
      </c>
      <c r="H3" s="63" t="s">
        <v>33</v>
      </c>
      <c r="I3" s="64" t="s">
        <v>32</v>
      </c>
      <c r="J3" s="275" t="s">
        <v>34</v>
      </c>
      <c r="K3" s="199">
        <v>0</v>
      </c>
      <c r="L3" s="65" t="s">
        <v>5</v>
      </c>
      <c r="M3" s="135" t="s">
        <v>5</v>
      </c>
      <c r="N3" s="222">
        <f>IF(SUBTOTAL(109,K3:K47)&lt;&gt;SUM(K3:K47),1,0)</f>
        <v>0</v>
      </c>
      <c r="O3" s="189">
        <f>EOMONTH(O2,0)</f>
        <v>46053</v>
      </c>
      <c r="P3" s="189">
        <f t="shared" ref="P3:Z3" si="1">EOMONTH(P2,0)</f>
        <v>46081</v>
      </c>
      <c r="Q3" s="189">
        <f t="shared" si="1"/>
        <v>46112</v>
      </c>
      <c r="R3" s="189">
        <f t="shared" si="1"/>
        <v>46142</v>
      </c>
      <c r="S3" s="189">
        <f t="shared" si="1"/>
        <v>46173</v>
      </c>
      <c r="T3" s="189">
        <f t="shared" si="1"/>
        <v>46203</v>
      </c>
      <c r="U3" s="189">
        <f t="shared" si="1"/>
        <v>46234</v>
      </c>
      <c r="V3" s="189">
        <f t="shared" si="1"/>
        <v>46265</v>
      </c>
      <c r="W3" s="189">
        <f t="shared" si="1"/>
        <v>46295</v>
      </c>
      <c r="X3" s="189">
        <f t="shared" si="1"/>
        <v>46326</v>
      </c>
      <c r="Y3" s="189">
        <f t="shared" si="1"/>
        <v>46356</v>
      </c>
      <c r="Z3" s="189">
        <f t="shared" si="1"/>
        <v>46387</v>
      </c>
      <c r="AB3" s="14"/>
    </row>
    <row r="4" spans="1:28" ht="13.35" customHeight="1">
      <c r="A4" s="50" t="s">
        <v>5</v>
      </c>
      <c r="B4" s="141"/>
      <c r="C4" s="80"/>
      <c r="D4" s="93"/>
      <c r="E4" s="226"/>
      <c r="F4" s="89"/>
      <c r="G4" s="81"/>
      <c r="H4" s="82"/>
      <c r="I4" s="83" t="str">
        <f t="shared" ref="I4:I44" si="2">IF(G4&lt;&gt;"",+G4-G4/(1+H4/100),"")</f>
        <v/>
      </c>
      <c r="J4" s="361" t="str">
        <f t="shared" ref="J4:J44" si="3">IF(G4&lt;&gt;0,+G4-I4,"")</f>
        <v/>
      </c>
      <c r="K4" s="200">
        <v>1</v>
      </c>
      <c r="L4" s="133">
        <f>IF(B4&lt;$O$2,0,IF(B4&lt;$P$2,1,IF(B4&lt;$Q$2,2,IF(B4&lt;$R$2,3,IF(B4&lt;$S$2,4,IF(B4&lt;$T$2,5,IF(B4&lt;$U$2,6,IF(B4&lt;$V$2,7,IF(B4&lt;$W$2,8,IF(B4&lt;$X$2,9,IF(B4&lt;$Y$2,10,IF(B4&lt;$Z$2,11,IF(B4&lt;=$Z$3,12,0)))))))))))))</f>
        <v>0</v>
      </c>
      <c r="M4" s="135" t="s">
        <v>5</v>
      </c>
      <c r="N4" s="190">
        <f>+N10+AA12+AA16</f>
        <v>0</v>
      </c>
      <c r="O4" s="251" t="s">
        <v>36</v>
      </c>
      <c r="P4" s="251" t="s">
        <v>37</v>
      </c>
      <c r="Q4" s="251" t="s">
        <v>38</v>
      </c>
      <c r="R4" s="251" t="s">
        <v>39</v>
      </c>
      <c r="S4" s="251" t="s">
        <v>40</v>
      </c>
      <c r="T4" s="251" t="s">
        <v>41</v>
      </c>
      <c r="U4" s="251" t="s">
        <v>42</v>
      </c>
      <c r="V4" s="251" t="s">
        <v>43</v>
      </c>
      <c r="W4" s="251" t="s">
        <v>44</v>
      </c>
      <c r="X4" s="251" t="s">
        <v>45</v>
      </c>
      <c r="Y4" s="251" t="s">
        <v>46</v>
      </c>
      <c r="Z4" s="251" t="s">
        <v>47</v>
      </c>
      <c r="AA4" s="1209" t="s">
        <v>255</v>
      </c>
      <c r="AB4" s="1210"/>
    </row>
    <row r="5" spans="1:28" ht="13.35" customHeight="1">
      <c r="A5" s="50" t="s">
        <v>5</v>
      </c>
      <c r="B5" s="141"/>
      <c r="C5" s="80"/>
      <c r="D5" s="93"/>
      <c r="E5" s="226"/>
      <c r="F5" s="89"/>
      <c r="G5" s="81"/>
      <c r="H5" s="82"/>
      <c r="I5" s="83" t="str">
        <f t="shared" si="2"/>
        <v/>
      </c>
      <c r="J5" s="361" t="str">
        <f t="shared" si="3"/>
        <v/>
      </c>
      <c r="K5" s="200">
        <v>2</v>
      </c>
      <c r="L5" s="133">
        <f t="shared" ref="L5:L44" si="4">IF(B5&lt;$O$2,0,IF(B5&lt;$P$2,1,IF(B5&lt;$Q$2,2,IF(B5&lt;$R$2,3,IF(B5&lt;$S$2,4,IF(B5&lt;$T$2,5,IF(B5&lt;$U$2,6,IF(B5&lt;$V$2,7,IF(B5&lt;$W$2,8,IF(B5&lt;$X$2,9,IF(B5&lt;$Y$2,10,IF(B5&lt;$Z$2,11,IF(B5&lt;=$Z$3,12,0)))))))))))))</f>
        <v>0</v>
      </c>
      <c r="M5" s="135" t="s">
        <v>5</v>
      </c>
      <c r="O5" s="252">
        <f>SUMIFS($G$3:$G$47,$L$3:$L$47,1,$F$3:$F$47,"Konto")</f>
        <v>0</v>
      </c>
      <c r="P5" s="252">
        <f>SUMIFS($G$3:$G$47,$L$3:$L$47,2,$F$3:$F$47,"Konto")</f>
        <v>0</v>
      </c>
      <c r="Q5" s="252">
        <f>SUMIFS($G$3:$G$47,$L$3:$L$47,3,$F$3:$F$47,"Konto")</f>
        <v>0</v>
      </c>
      <c r="R5" s="252">
        <f>SUMIFS($G$3:$G$47,$L$3:$L$47,4,$F$3:$F$47,"Konto")</f>
        <v>0</v>
      </c>
      <c r="S5" s="252">
        <f>SUMIFS($G$3:$G$47,$L$3:$L$47,5,$F$3:$F$47,"Konto")</f>
        <v>0</v>
      </c>
      <c r="T5" s="252">
        <f>SUMIFS($G$3:$G$47,$L$3:$L$47,6,$F$3:$F$47,"Konto")</f>
        <v>0</v>
      </c>
      <c r="U5" s="252">
        <f>SUMIFS($G$3:$G$47,$L$3:$L$47,7,$F$3:$F$47,"Konto")</f>
        <v>0</v>
      </c>
      <c r="V5" s="252">
        <f>SUMIFS($G$3:$G$47,$L$3:$L$47,8,$F$3:$F$47,"Konto")</f>
        <v>0</v>
      </c>
      <c r="W5" s="252">
        <f>SUMIFS($G$3:$G$47,$L$3:$L$47,9,$F$3:$F$47,"Konto")</f>
        <v>0</v>
      </c>
      <c r="X5" s="252">
        <f>SUMIFS($G$3:$G$47,$L$3:$L$47,10,$F$3:$F$47,"Konto")</f>
        <v>0</v>
      </c>
      <c r="Y5" s="252">
        <f>SUMIFS($G$3:$G$47,$L$3:$L$47,11,$F$3:$F$47,"Konto")</f>
        <v>0</v>
      </c>
      <c r="Z5" s="252">
        <f>SUMIFS($G$3:$G$47,$L$3:$L$47,12,$F$3:$F$47,"Konto")</f>
        <v>0</v>
      </c>
      <c r="AA5" s="253">
        <f>SUM(O5:Z5)</f>
        <v>0</v>
      </c>
      <c r="AB5" s="254" t="s">
        <v>140</v>
      </c>
    </row>
    <row r="6" spans="1:28" ht="13.35" customHeight="1">
      <c r="A6" s="50" t="s">
        <v>5</v>
      </c>
      <c r="B6" s="141"/>
      <c r="C6" s="80"/>
      <c r="D6" s="93"/>
      <c r="E6" s="226"/>
      <c r="F6" s="89"/>
      <c r="G6" s="81"/>
      <c r="H6" s="82"/>
      <c r="I6" s="83" t="str">
        <f t="shared" si="2"/>
        <v/>
      </c>
      <c r="J6" s="361" t="str">
        <f t="shared" si="3"/>
        <v/>
      </c>
      <c r="K6" s="200">
        <v>3</v>
      </c>
      <c r="L6" s="133">
        <f t="shared" si="4"/>
        <v>0</v>
      </c>
      <c r="M6" s="135" t="s">
        <v>5</v>
      </c>
      <c r="N6" s="190"/>
      <c r="O6" s="252">
        <f>SUMIFS($G$3:$G$47,$L$3:$L$47,1,$F$3:$F$47,"Kreditkarte")</f>
        <v>0</v>
      </c>
      <c r="P6" s="252">
        <f>SUMIFS($G$3:$G$47,$L$3:$L$47,2,$F$3:$F$47,"Kreditkarte")</f>
        <v>0</v>
      </c>
      <c r="Q6" s="252">
        <f>SUMIFS($G$3:$G$47,$L$3:$L$47,3,$F$3:$F$47,"Kreditkarte")</f>
        <v>0</v>
      </c>
      <c r="R6" s="252">
        <f>SUMIFS($G$3:$G$47,$L$3:$L$47,4,$F$3:$F$47,"Kreditkarte")</f>
        <v>0</v>
      </c>
      <c r="S6" s="252">
        <f>SUMIFS($G$3:$G$47,$L$3:$L$47,5,$F$3:$F$47,"Kreditkarte")</f>
        <v>0</v>
      </c>
      <c r="T6" s="252">
        <f>SUMIFS($G$3:$G$47,$L$3:$L$47,6,$F$3:$F$47,"Kreditkarte")</f>
        <v>0</v>
      </c>
      <c r="U6" s="252">
        <f>SUMIFS($G$3:$G$47,$L$3:$L$47,7,$F$3:$F$47,"Kreditkarte")</f>
        <v>0</v>
      </c>
      <c r="V6" s="252">
        <f>SUMIFS($G$3:$G$47,$L$3:$L$47,8,$F$3:$F$47,"Kreditkarte")</f>
        <v>0</v>
      </c>
      <c r="W6" s="252">
        <f>SUMIFS($G$3:$G$47,$L$3:$L$47,9,$F$3:$F$47,"Kreditkarte")</f>
        <v>0</v>
      </c>
      <c r="X6" s="252">
        <f>SUMIFS($G$3:$G$47,$L$3:$L$47,10,$F$3:$F$47,"Kreditkarte")</f>
        <v>0</v>
      </c>
      <c r="Y6" s="252">
        <f>SUMIFS($G$3:$G$47,$L$3:$L$47,11,$F$3:$F$47,"Kreditkarte")</f>
        <v>0</v>
      </c>
      <c r="Z6" s="252">
        <f>SUMIFS($G$3:$G$47,$L$3:$L$47,12,$F$3:$F$47,"Kreditkarte")</f>
        <v>0</v>
      </c>
      <c r="AA6" s="255">
        <f t="shared" ref="AA6:AA8" si="5">SUM(O6:Z6)</f>
        <v>0</v>
      </c>
      <c r="AB6" s="256" t="s">
        <v>142</v>
      </c>
    </row>
    <row r="7" spans="1:28" ht="13.35" customHeight="1">
      <c r="A7" s="50" t="s">
        <v>5</v>
      </c>
      <c r="B7" s="141"/>
      <c r="C7" s="80"/>
      <c r="D7" s="93"/>
      <c r="E7" s="226"/>
      <c r="F7" s="89"/>
      <c r="G7" s="81"/>
      <c r="H7" s="82"/>
      <c r="I7" s="83" t="str">
        <f t="shared" si="2"/>
        <v/>
      </c>
      <c r="J7" s="361" t="str">
        <f t="shared" si="3"/>
        <v/>
      </c>
      <c r="K7" s="200">
        <v>4</v>
      </c>
      <c r="L7" s="133">
        <f t="shared" si="4"/>
        <v>0</v>
      </c>
      <c r="M7" s="135" t="s">
        <v>5</v>
      </c>
      <c r="O7" s="252">
        <f>SUMIFS($G$3:$G$47,$L$3:$L$47,1,$F$3:$F$47,"Geldbeutel")</f>
        <v>0</v>
      </c>
      <c r="P7" s="252">
        <f>SUMIFS($G$3:$G$47,$L$3:$L$47,2,$F$3:$F$47,"Geldbeutel")</f>
        <v>0</v>
      </c>
      <c r="Q7" s="252">
        <f>SUMIFS($G$3:$G$47,$L$3:$L$47,3,$F$3:$F$47,"Geldbeutel")</f>
        <v>0</v>
      </c>
      <c r="R7" s="252">
        <f>SUMIFS($G$3:$G$47,$L$3:$L$47,4,$F$3:$F$47,"Geldbeutel")</f>
        <v>0</v>
      </c>
      <c r="S7" s="252">
        <f>SUMIFS($G$3:$G$47,$L$3:$L$47,5,$F$3:$F$47,"Geldbeutel")</f>
        <v>0</v>
      </c>
      <c r="T7" s="252">
        <f>SUMIFS($G$3:$G$47,$L$3:$L$47,6,$F$3:$F$47,"Geldbeutel")</f>
        <v>0</v>
      </c>
      <c r="U7" s="252">
        <f>SUMIFS($G$3:$G$47,$L$3:$L$47,7,$F$3:$F$47,"Geldbeutel")</f>
        <v>0</v>
      </c>
      <c r="V7" s="252">
        <f>SUMIFS($G$3:$G$47,$L$3:$L$47,8,$F$3:$F$47,"Geldbeutel")</f>
        <v>0</v>
      </c>
      <c r="W7" s="252">
        <f>SUMIFS($G$3:$G$47,$L$3:$L$47,9,$F$3:$F$47,"Geldbeutel")</f>
        <v>0</v>
      </c>
      <c r="X7" s="252">
        <f>SUMIFS($G$3:$G$47,$L$3:$L$47,10,$F$3:$F$47,"Geldbeutel")</f>
        <v>0</v>
      </c>
      <c r="Y7" s="252">
        <f>SUMIFS($G$3:$G$47,$L$3:$L$47,11,$F$3:$F$47,"Geldbeutel")</f>
        <v>0</v>
      </c>
      <c r="Z7" s="252">
        <f>SUMIFS($G$3:$G$47,$L$3:$L$47,12,$F$3:$F$47,"Geldbeutel")</f>
        <v>0</v>
      </c>
      <c r="AA7" s="253">
        <f t="shared" si="5"/>
        <v>0</v>
      </c>
      <c r="AB7" s="254" t="s">
        <v>139</v>
      </c>
    </row>
    <row r="8" spans="1:28" ht="13.35" customHeight="1">
      <c r="A8" s="50" t="s">
        <v>5</v>
      </c>
      <c r="B8" s="141"/>
      <c r="C8" s="80"/>
      <c r="D8" s="93"/>
      <c r="E8" s="226"/>
      <c r="F8" s="89"/>
      <c r="G8" s="81"/>
      <c r="H8" s="82"/>
      <c r="I8" s="83" t="str">
        <f t="shared" si="2"/>
        <v/>
      </c>
      <c r="J8" s="361" t="str">
        <f t="shared" si="3"/>
        <v/>
      </c>
      <c r="K8" s="200">
        <v>5</v>
      </c>
      <c r="L8" s="133">
        <f t="shared" si="4"/>
        <v>0</v>
      </c>
      <c r="M8" s="135" t="s">
        <v>5</v>
      </c>
      <c r="O8" s="252">
        <f>SUMIFS($G$3:$G$47,$L$3:$L$47,1,$F$3:$F$47,"X")</f>
        <v>0</v>
      </c>
      <c r="P8" s="252">
        <f>SUMIFS($G$3:$G$47,$L$3:$L$47,2,$F$3:$F$47,"X")</f>
        <v>0</v>
      </c>
      <c r="Q8" s="252">
        <f>SUMIFS($G$3:$G$47,$L$3:$L$47,3,$F$3:$F$47,"X")</f>
        <v>0</v>
      </c>
      <c r="R8" s="252">
        <f>SUMIFS($G$3:$G$47,$L$3:$L$47,4,$F$3:$F$47,"X")</f>
        <v>0</v>
      </c>
      <c r="S8" s="252">
        <f>SUMIFS($G$3:$G$47,$L$3:$L$47,5,$F$3:$F$47,"X")</f>
        <v>0</v>
      </c>
      <c r="T8" s="252">
        <f>SUMIFS($G$3:$G$47,$L$3:$L$47,6,$F$3:$F$47,"X")</f>
        <v>0</v>
      </c>
      <c r="U8" s="252">
        <f>SUMIFS($G$3:$G$47,$L$3:$L$47,7,$F$3:$F$47,"X")</f>
        <v>0</v>
      </c>
      <c r="V8" s="252">
        <f>SUMIFS($G$3:$G$47,$L$3:$L$47,8,$F$3:$F$47,"X")</f>
        <v>0</v>
      </c>
      <c r="W8" s="252">
        <f>SUMIFS($G$3:$G$47,$L$3:$L$47,9,$F$3:$F$47,"X")</f>
        <v>0</v>
      </c>
      <c r="X8" s="252">
        <f>SUMIFS($G$3:$G$47,$L$3:$L$47,10,$F$3:$F$47,"X")</f>
        <v>0</v>
      </c>
      <c r="Y8" s="252">
        <f>SUMIFS($G$3:$G$47,$L$3:$L$47,11,$F$3:$F$47,"X")</f>
        <v>0</v>
      </c>
      <c r="Z8" s="252">
        <f>SUMIFS($G$3:$G$47,$L$3:$L$47,12,$F$3:$F$47,"X")</f>
        <v>0</v>
      </c>
      <c r="AA8" s="255">
        <f t="shared" si="5"/>
        <v>0</v>
      </c>
      <c r="AB8" s="256" t="s">
        <v>192</v>
      </c>
    </row>
    <row r="9" spans="1:28" ht="13.35" customHeight="1">
      <c r="A9" s="50" t="s">
        <v>5</v>
      </c>
      <c r="B9" s="141"/>
      <c r="C9" s="80"/>
      <c r="D9" s="93"/>
      <c r="E9" s="226"/>
      <c r="F9" s="89"/>
      <c r="G9" s="81"/>
      <c r="H9" s="82"/>
      <c r="I9" s="83" t="str">
        <f t="shared" si="2"/>
        <v/>
      </c>
      <c r="J9" s="361" t="str">
        <f t="shared" si="3"/>
        <v/>
      </c>
      <c r="K9" s="200">
        <v>6</v>
      </c>
      <c r="L9" s="133">
        <f t="shared" si="4"/>
        <v>0</v>
      </c>
      <c r="M9" s="135" t="s">
        <v>5</v>
      </c>
      <c r="N9" s="191">
        <f>IF(OR(AND(AA14&lt;&gt;0,B48="x"),(O14+AA13)&lt;&gt;H48),1,0)</f>
        <v>0</v>
      </c>
      <c r="O9" s="257">
        <f>SUM(O5:O8)</f>
        <v>0</v>
      </c>
      <c r="P9" s="257">
        <f t="shared" ref="P9:Z9" si="6">SUM(P5:P8)</f>
        <v>0</v>
      </c>
      <c r="Q9" s="257">
        <f t="shared" si="6"/>
        <v>0</v>
      </c>
      <c r="R9" s="257">
        <f t="shared" si="6"/>
        <v>0</v>
      </c>
      <c r="S9" s="257">
        <f t="shared" si="6"/>
        <v>0</v>
      </c>
      <c r="T9" s="257">
        <f t="shared" si="6"/>
        <v>0</v>
      </c>
      <c r="U9" s="257">
        <f t="shared" si="6"/>
        <v>0</v>
      </c>
      <c r="V9" s="257">
        <f t="shared" si="6"/>
        <v>0</v>
      </c>
      <c r="W9" s="257">
        <f t="shared" si="6"/>
        <v>0</v>
      </c>
      <c r="X9" s="257">
        <f t="shared" si="6"/>
        <v>0</v>
      </c>
      <c r="Y9" s="257">
        <f t="shared" si="6"/>
        <v>0</v>
      </c>
      <c r="Z9" s="257">
        <f t="shared" si="6"/>
        <v>0</v>
      </c>
      <c r="AA9" s="1211" t="s">
        <v>197</v>
      </c>
      <c r="AB9" s="1212"/>
    </row>
    <row r="10" spans="1:28" ht="13.35" customHeight="1">
      <c r="A10" s="50" t="s">
        <v>5</v>
      </c>
      <c r="B10" s="141"/>
      <c r="C10" s="80"/>
      <c r="D10" s="93"/>
      <c r="E10" s="226"/>
      <c r="F10" s="89"/>
      <c r="G10" s="81"/>
      <c r="H10" s="82"/>
      <c r="I10" s="83" t="str">
        <f t="shared" si="2"/>
        <v/>
      </c>
      <c r="J10" s="361" t="str">
        <f t="shared" si="3"/>
        <v/>
      </c>
      <c r="K10" s="200">
        <v>7</v>
      </c>
      <c r="L10" s="133">
        <f t="shared" si="4"/>
        <v>0</v>
      </c>
      <c r="M10" s="135" t="s">
        <v>5</v>
      </c>
      <c r="N10" s="259">
        <f>IF(O10+AA10&lt;&gt;G48,1,0)</f>
        <v>0</v>
      </c>
      <c r="O10" s="1230">
        <f>SUM(O5:Z8)</f>
        <v>0</v>
      </c>
      <c r="P10" s="1231"/>
      <c r="Q10" s="1231"/>
      <c r="R10" s="1231"/>
      <c r="S10" s="1231"/>
      <c r="T10" s="1231"/>
      <c r="U10" s="1231"/>
      <c r="V10" s="1231"/>
      <c r="W10" s="1231"/>
      <c r="X10" s="1231"/>
      <c r="Y10" s="1231"/>
      <c r="Z10" s="1232"/>
      <c r="AA10" s="292">
        <f>+G48-AA7-AA6-AA5-AA8</f>
        <v>0</v>
      </c>
      <c r="AB10" s="293" t="s">
        <v>205</v>
      </c>
    </row>
    <row r="11" spans="1:28" ht="13.35" customHeight="1">
      <c r="A11" s="50" t="s">
        <v>5</v>
      </c>
      <c r="B11" s="141"/>
      <c r="C11" s="80"/>
      <c r="D11" s="93"/>
      <c r="E11" s="226"/>
      <c r="F11" s="89"/>
      <c r="G11" s="81"/>
      <c r="H11" s="82"/>
      <c r="I11" s="83" t="str">
        <f t="shared" si="2"/>
        <v/>
      </c>
      <c r="J11" s="361" t="str">
        <f t="shared" si="3"/>
        <v/>
      </c>
      <c r="K11" s="200">
        <v>8</v>
      </c>
      <c r="L11" s="133">
        <f t="shared" si="4"/>
        <v>0</v>
      </c>
      <c r="M11" s="135" t="s">
        <v>5</v>
      </c>
      <c r="O11" s="1219" t="str">
        <f>IF(N4&gt;0,"Fehler!","")</f>
        <v/>
      </c>
      <c r="P11" s="1219"/>
      <c r="Q11" s="1219"/>
      <c r="R11" s="1219"/>
      <c r="S11" s="1219"/>
      <c r="T11" s="1219"/>
      <c r="U11" s="1219"/>
      <c r="V11" s="1219"/>
      <c r="W11" s="1219"/>
      <c r="X11" s="1219"/>
      <c r="Y11" s="1219"/>
      <c r="Z11" s="1219"/>
    </row>
    <row r="12" spans="1:28" ht="13.35" customHeight="1">
      <c r="A12" s="50" t="s">
        <v>5</v>
      </c>
      <c r="B12" s="141"/>
      <c r="C12" s="80"/>
      <c r="D12" s="93"/>
      <c r="E12" s="226"/>
      <c r="F12" s="89"/>
      <c r="G12" s="81"/>
      <c r="H12" s="82"/>
      <c r="I12" s="83" t="str">
        <f t="shared" si="2"/>
        <v/>
      </c>
      <c r="J12" s="361" t="str">
        <f t="shared" si="3"/>
        <v/>
      </c>
      <c r="K12" s="200">
        <v>9</v>
      </c>
      <c r="L12" s="133">
        <f t="shared" si="4"/>
        <v>0</v>
      </c>
      <c r="M12" s="135" t="s">
        <v>5</v>
      </c>
      <c r="O12" s="203" t="s">
        <v>36</v>
      </c>
      <c r="P12" s="203" t="s">
        <v>37</v>
      </c>
      <c r="Q12" s="203" t="s">
        <v>38</v>
      </c>
      <c r="R12" s="203" t="s">
        <v>39</v>
      </c>
      <c r="S12" s="203" t="s">
        <v>40</v>
      </c>
      <c r="T12" s="203" t="s">
        <v>41</v>
      </c>
      <c r="U12" s="203" t="s">
        <v>42</v>
      </c>
      <c r="V12" s="203" t="s">
        <v>43</v>
      </c>
      <c r="W12" s="203" t="s">
        <v>44</v>
      </c>
      <c r="X12" s="203" t="s">
        <v>45</v>
      </c>
      <c r="Y12" s="203" t="s">
        <v>46</v>
      </c>
      <c r="Z12" s="203" t="s">
        <v>47</v>
      </c>
      <c r="AA12" s="221">
        <f>IF(O14+AA13&lt;&gt;H48,1,0)</f>
        <v>0</v>
      </c>
    </row>
    <row r="13" spans="1:28" ht="13.35" customHeight="1">
      <c r="A13" s="50" t="s">
        <v>5</v>
      </c>
      <c r="B13" s="141"/>
      <c r="C13" s="80"/>
      <c r="D13" s="93"/>
      <c r="E13" s="226"/>
      <c r="F13" s="89"/>
      <c r="G13" s="81"/>
      <c r="H13" s="82"/>
      <c r="I13" s="83" t="str">
        <f t="shared" si="2"/>
        <v/>
      </c>
      <c r="J13" s="361" t="str">
        <f t="shared" si="3"/>
        <v/>
      </c>
      <c r="K13" s="200">
        <v>10</v>
      </c>
      <c r="L13" s="133">
        <f t="shared" si="4"/>
        <v>0</v>
      </c>
      <c r="M13" s="135" t="s">
        <v>5</v>
      </c>
      <c r="O13" s="187">
        <f>SUMIF($L$3:$L$47,1,$I$3:$I$47)</f>
        <v>0</v>
      </c>
      <c r="P13" s="187">
        <f>SUMIF($L$3:$L$47,2,$I$3:$I$47)</f>
        <v>0</v>
      </c>
      <c r="Q13" s="187">
        <f>SUMIF($L$3:$L$47,3,$I$3:$I$47)</f>
        <v>0</v>
      </c>
      <c r="R13" s="187">
        <f>SUMIF($L$3:$L$47,4,$I$3:$I$47)</f>
        <v>0</v>
      </c>
      <c r="S13" s="187">
        <f>SUMIF($L$3:$L$47,5,$I$3:$I$47)</f>
        <v>0</v>
      </c>
      <c r="T13" s="187">
        <f>SUMIF($L$3:$L$47,6,$I$3:$I$47)</f>
        <v>0</v>
      </c>
      <c r="U13" s="187">
        <f>SUMIF($L$3:$L$47,7,$I$3:$I$47)</f>
        <v>0</v>
      </c>
      <c r="V13" s="187">
        <f>SUMIF($L$3:$L$47,8,$I$3:$I$47)</f>
        <v>0</v>
      </c>
      <c r="W13" s="187">
        <f>SUMIF($L$3:$L$47,9,$I$3:$I$47)</f>
        <v>0</v>
      </c>
      <c r="X13" s="187">
        <f>SUMIF($L$3:$L$47,10,$I$3:$I$47)</f>
        <v>0</v>
      </c>
      <c r="Y13" s="187">
        <f>SUMIF($L$3:$L$47,11,$I$3:$I$47)</f>
        <v>0</v>
      </c>
      <c r="Z13" s="187">
        <f>SUMIF($L$3:$L$47,12,$I$3:$I$47)</f>
        <v>0</v>
      </c>
      <c r="AA13" s="1220">
        <f>SUMIF($L$3:$L$47,0,$I$3:$I$47)</f>
        <v>0</v>
      </c>
      <c r="AB13" s="1221"/>
    </row>
    <row r="14" spans="1:28" ht="13.35" customHeight="1">
      <c r="A14" s="50" t="s">
        <v>5</v>
      </c>
      <c r="B14" s="141"/>
      <c r="C14" s="80"/>
      <c r="D14" s="93"/>
      <c r="E14" s="226"/>
      <c r="F14" s="89"/>
      <c r="G14" s="81"/>
      <c r="H14" s="82"/>
      <c r="I14" s="83" t="str">
        <f t="shared" si="2"/>
        <v/>
      </c>
      <c r="J14" s="361" t="str">
        <f t="shared" si="3"/>
        <v/>
      </c>
      <c r="K14" s="200">
        <v>11</v>
      </c>
      <c r="L14" s="133">
        <f t="shared" si="4"/>
        <v>0</v>
      </c>
      <c r="M14" s="135" t="s">
        <v>5</v>
      </c>
      <c r="O14" s="1299">
        <f>SUM(O13:Z13)</f>
        <v>0</v>
      </c>
      <c r="P14" s="1300"/>
      <c r="Q14" s="1300"/>
      <c r="R14" s="1300"/>
      <c r="S14" s="1300"/>
      <c r="T14" s="1300"/>
      <c r="U14" s="1300"/>
      <c r="V14" s="1300"/>
      <c r="W14" s="1300"/>
      <c r="X14" s="1300"/>
      <c r="Y14" s="1300"/>
      <c r="Z14" s="1301"/>
      <c r="AA14" s="1222">
        <f>SUM(O13:Z13)+AA13</f>
        <v>0</v>
      </c>
      <c r="AB14" s="1223"/>
    </row>
    <row r="15" spans="1:28" ht="13.35" customHeight="1">
      <c r="A15" s="50" t="s">
        <v>5</v>
      </c>
      <c r="B15" s="141"/>
      <c r="C15" s="260"/>
      <c r="D15" s="93"/>
      <c r="E15" s="226"/>
      <c r="F15" s="89"/>
      <c r="G15" s="81"/>
      <c r="H15" s="82"/>
      <c r="I15" s="83" t="str">
        <f t="shared" si="2"/>
        <v/>
      </c>
      <c r="J15" s="361" t="str">
        <f t="shared" si="3"/>
        <v/>
      </c>
      <c r="K15" s="200">
        <v>12</v>
      </c>
      <c r="L15" s="133">
        <f t="shared" si="4"/>
        <v>0</v>
      </c>
      <c r="M15" s="135" t="s">
        <v>5</v>
      </c>
      <c r="O15" s="244"/>
      <c r="P15" s="244"/>
      <c r="Q15" s="244"/>
      <c r="R15" s="244"/>
      <c r="S15" s="244"/>
      <c r="T15" s="244"/>
      <c r="U15" s="244"/>
      <c r="V15" s="244"/>
      <c r="W15" s="244"/>
      <c r="X15" s="244"/>
      <c r="Y15" s="244"/>
      <c r="Z15" s="244"/>
      <c r="AA15" s="244"/>
      <c r="AB15" s="244"/>
    </row>
    <row r="16" spans="1:28" ht="13.35" customHeight="1">
      <c r="A16" s="50" t="s">
        <v>5</v>
      </c>
      <c r="B16" s="141"/>
      <c r="C16" s="80"/>
      <c r="D16" s="93"/>
      <c r="E16" s="226"/>
      <c r="F16" s="89"/>
      <c r="G16" s="81"/>
      <c r="H16" s="82"/>
      <c r="I16" s="83" t="str">
        <f t="shared" si="2"/>
        <v/>
      </c>
      <c r="J16" s="361" t="str">
        <f t="shared" si="3"/>
        <v/>
      </c>
      <c r="K16" s="200">
        <v>13</v>
      </c>
      <c r="L16" s="133">
        <f t="shared" si="4"/>
        <v>0</v>
      </c>
      <c r="M16" s="135" t="s">
        <v>5</v>
      </c>
      <c r="O16" s="244"/>
      <c r="P16" s="244"/>
      <c r="Q16" s="244"/>
      <c r="R16" s="244"/>
      <c r="S16" s="244"/>
      <c r="T16" s="244"/>
      <c r="U16" s="244"/>
      <c r="V16" s="244"/>
      <c r="W16" s="244"/>
      <c r="X16" s="244"/>
      <c r="Y16" s="244"/>
      <c r="Z16" s="244"/>
      <c r="AA16" s="244"/>
      <c r="AB16" s="244"/>
    </row>
    <row r="17" spans="1:28" ht="13.35" customHeight="1">
      <c r="A17" s="50" t="s">
        <v>5</v>
      </c>
      <c r="B17" s="141"/>
      <c r="C17" s="80"/>
      <c r="D17" s="93"/>
      <c r="E17" s="226"/>
      <c r="F17" s="89"/>
      <c r="G17" s="81"/>
      <c r="H17" s="82"/>
      <c r="I17" s="83" t="str">
        <f t="shared" si="2"/>
        <v/>
      </c>
      <c r="J17" s="361" t="str">
        <f t="shared" si="3"/>
        <v/>
      </c>
      <c r="K17" s="200">
        <v>14</v>
      </c>
      <c r="L17" s="133">
        <f t="shared" si="4"/>
        <v>0</v>
      </c>
      <c r="M17" s="135" t="s">
        <v>5</v>
      </c>
      <c r="O17" s="244"/>
      <c r="P17" s="244"/>
      <c r="Q17" s="244"/>
      <c r="R17" s="244"/>
      <c r="S17" s="244"/>
      <c r="T17" s="244"/>
      <c r="U17" s="244"/>
      <c r="V17" s="244"/>
      <c r="W17" s="244"/>
      <c r="X17" s="244"/>
      <c r="Y17" s="244"/>
      <c r="Z17" s="244"/>
      <c r="AA17" s="244"/>
      <c r="AB17" s="244"/>
    </row>
    <row r="18" spans="1:28" ht="13.35" customHeight="1">
      <c r="A18" s="50" t="s">
        <v>5</v>
      </c>
      <c r="B18" s="141"/>
      <c r="C18" s="80"/>
      <c r="D18" s="93"/>
      <c r="E18" s="226"/>
      <c r="F18" s="89"/>
      <c r="G18" s="81"/>
      <c r="H18" s="82"/>
      <c r="I18" s="83" t="str">
        <f t="shared" si="2"/>
        <v/>
      </c>
      <c r="J18" s="361" t="str">
        <f t="shared" si="3"/>
        <v/>
      </c>
      <c r="K18" s="200">
        <v>15</v>
      </c>
      <c r="L18" s="133">
        <f t="shared" si="4"/>
        <v>0</v>
      </c>
      <c r="M18" s="135" t="s">
        <v>5</v>
      </c>
      <c r="O18" s="244"/>
      <c r="P18" s="244"/>
      <c r="Q18" s="244"/>
      <c r="R18" s="244"/>
      <c r="S18" s="244"/>
      <c r="T18" s="244"/>
      <c r="U18" s="244"/>
      <c r="V18" s="244"/>
      <c r="W18" s="244"/>
      <c r="X18" s="244"/>
      <c r="Y18" s="244"/>
      <c r="Z18" s="244"/>
      <c r="AA18" s="244"/>
      <c r="AB18" s="244"/>
    </row>
    <row r="19" spans="1:28" ht="13.35" customHeight="1">
      <c r="A19" s="50" t="s">
        <v>5</v>
      </c>
      <c r="B19" s="141"/>
      <c r="C19" s="80"/>
      <c r="D19" s="93"/>
      <c r="E19" s="226"/>
      <c r="F19" s="89"/>
      <c r="G19" s="81"/>
      <c r="H19" s="82"/>
      <c r="I19" s="83" t="str">
        <f t="shared" si="2"/>
        <v/>
      </c>
      <c r="J19" s="361" t="str">
        <f t="shared" si="3"/>
        <v/>
      </c>
      <c r="K19" s="200">
        <v>16</v>
      </c>
      <c r="L19" s="133">
        <f t="shared" si="4"/>
        <v>0</v>
      </c>
      <c r="M19" s="135" t="s">
        <v>5</v>
      </c>
      <c r="O19" s="244"/>
      <c r="P19" s="244"/>
      <c r="Q19" s="244"/>
      <c r="R19" s="244"/>
      <c r="S19" s="244"/>
      <c r="T19" s="244"/>
      <c r="U19" s="244"/>
      <c r="V19" s="244"/>
      <c r="W19" s="244"/>
      <c r="X19" s="244"/>
      <c r="Y19" s="244"/>
      <c r="Z19" s="244"/>
      <c r="AA19" s="244"/>
      <c r="AB19" s="244"/>
    </row>
    <row r="20" spans="1:28" ht="13.35" customHeight="1">
      <c r="A20" s="50" t="s">
        <v>5</v>
      </c>
      <c r="B20" s="141"/>
      <c r="C20" s="80"/>
      <c r="D20" s="93"/>
      <c r="E20" s="226"/>
      <c r="F20" s="89"/>
      <c r="G20" s="81"/>
      <c r="H20" s="82"/>
      <c r="I20" s="83" t="str">
        <f t="shared" si="2"/>
        <v/>
      </c>
      <c r="J20" s="361" t="str">
        <f t="shared" si="3"/>
        <v/>
      </c>
      <c r="K20" s="200">
        <v>17</v>
      </c>
      <c r="L20" s="133">
        <f t="shared" si="4"/>
        <v>0</v>
      </c>
      <c r="M20" s="135" t="s">
        <v>5</v>
      </c>
      <c r="O20" s="244"/>
      <c r="P20" s="244"/>
      <c r="Q20" s="244"/>
      <c r="R20" s="244"/>
      <c r="S20" s="244"/>
      <c r="T20" s="244"/>
      <c r="U20" s="244"/>
      <c r="V20" s="244"/>
      <c r="W20" s="244"/>
      <c r="X20" s="244"/>
      <c r="Y20" s="244"/>
      <c r="Z20" s="244"/>
      <c r="AA20" s="244"/>
      <c r="AB20" s="244"/>
    </row>
    <row r="21" spans="1:28" ht="13.35" customHeight="1">
      <c r="A21" s="50" t="s">
        <v>5</v>
      </c>
      <c r="B21" s="141"/>
      <c r="C21" s="80"/>
      <c r="D21" s="93"/>
      <c r="E21" s="226"/>
      <c r="F21" s="89"/>
      <c r="G21" s="81"/>
      <c r="H21" s="82"/>
      <c r="I21" s="83" t="str">
        <f t="shared" si="2"/>
        <v/>
      </c>
      <c r="J21" s="361" t="str">
        <f t="shared" si="3"/>
        <v/>
      </c>
      <c r="K21" s="200">
        <v>18</v>
      </c>
      <c r="L21" s="133">
        <f t="shared" si="4"/>
        <v>0</v>
      </c>
      <c r="M21" s="135" t="s">
        <v>5</v>
      </c>
      <c r="O21" s="244"/>
      <c r="P21" s="244"/>
      <c r="Q21" s="244"/>
      <c r="R21" s="244"/>
      <c r="S21" s="244"/>
      <c r="T21" s="244"/>
      <c r="U21" s="244"/>
      <c r="V21" s="244"/>
      <c r="W21" s="244"/>
      <c r="X21" s="244"/>
      <c r="Y21" s="244"/>
      <c r="Z21" s="244"/>
      <c r="AA21" s="244"/>
      <c r="AB21" s="244"/>
    </row>
    <row r="22" spans="1:28" ht="13.35" customHeight="1">
      <c r="A22" s="50" t="s">
        <v>5</v>
      </c>
      <c r="B22" s="141"/>
      <c r="C22" s="80"/>
      <c r="D22" s="93"/>
      <c r="E22" s="226"/>
      <c r="F22" s="89"/>
      <c r="G22" s="81"/>
      <c r="H22" s="82"/>
      <c r="I22" s="83" t="str">
        <f t="shared" si="2"/>
        <v/>
      </c>
      <c r="J22" s="361" t="str">
        <f t="shared" si="3"/>
        <v/>
      </c>
      <c r="K22" s="200">
        <v>19</v>
      </c>
      <c r="L22" s="133">
        <f t="shared" si="4"/>
        <v>0</v>
      </c>
      <c r="M22" s="135" t="s">
        <v>5</v>
      </c>
      <c r="O22" s="244"/>
      <c r="P22" s="244"/>
      <c r="Q22" s="244"/>
      <c r="R22" s="244"/>
      <c r="S22" s="244"/>
      <c r="T22" s="244"/>
      <c r="U22" s="244"/>
      <c r="V22" s="244"/>
      <c r="W22" s="244"/>
      <c r="X22" s="244"/>
      <c r="Y22" s="244"/>
      <c r="Z22" s="244"/>
      <c r="AA22" s="244"/>
      <c r="AB22" s="244"/>
    </row>
    <row r="23" spans="1:28" ht="13.35" customHeight="1">
      <c r="A23" s="50" t="s">
        <v>5</v>
      </c>
      <c r="B23" s="141"/>
      <c r="C23" s="80"/>
      <c r="D23" s="94"/>
      <c r="E23" s="226"/>
      <c r="F23" s="89"/>
      <c r="G23" s="81"/>
      <c r="H23" s="82"/>
      <c r="I23" s="83" t="str">
        <f t="shared" si="2"/>
        <v/>
      </c>
      <c r="J23" s="361" t="str">
        <f t="shared" si="3"/>
        <v/>
      </c>
      <c r="K23" s="200">
        <v>20</v>
      </c>
      <c r="L23" s="133">
        <f t="shared" si="4"/>
        <v>0</v>
      </c>
      <c r="M23" s="135" t="s">
        <v>5</v>
      </c>
      <c r="O23" s="244"/>
      <c r="P23" s="244"/>
      <c r="Q23" s="244"/>
      <c r="R23" s="244"/>
      <c r="S23" s="244"/>
      <c r="T23" s="244"/>
      <c r="U23" s="244"/>
      <c r="V23" s="244"/>
      <c r="W23" s="244"/>
      <c r="X23" s="244"/>
      <c r="Y23" s="244"/>
      <c r="Z23" s="244"/>
      <c r="AA23" s="244"/>
      <c r="AB23" s="244"/>
    </row>
    <row r="24" spans="1:28" ht="13.35" customHeight="1">
      <c r="A24" s="50" t="s">
        <v>5</v>
      </c>
      <c r="B24" s="141"/>
      <c r="C24" s="80"/>
      <c r="D24" s="93"/>
      <c r="E24" s="226"/>
      <c r="F24" s="89"/>
      <c r="G24" s="81"/>
      <c r="H24" s="82"/>
      <c r="I24" s="83" t="str">
        <f t="shared" si="2"/>
        <v/>
      </c>
      <c r="J24" s="361" t="str">
        <f t="shared" si="3"/>
        <v/>
      </c>
      <c r="K24" s="200">
        <v>21</v>
      </c>
      <c r="L24" s="133">
        <f t="shared" si="4"/>
        <v>0</v>
      </c>
      <c r="M24" s="135" t="s">
        <v>5</v>
      </c>
      <c r="O24" s="244"/>
      <c r="P24" s="244"/>
      <c r="Q24" s="244"/>
      <c r="R24" s="244"/>
      <c r="S24" s="244"/>
      <c r="T24" s="244"/>
      <c r="U24" s="244"/>
      <c r="V24" s="244"/>
      <c r="W24" s="244"/>
      <c r="X24" s="244"/>
      <c r="Y24" s="244"/>
      <c r="Z24" s="244"/>
      <c r="AA24" s="244"/>
      <c r="AB24" s="244"/>
    </row>
    <row r="25" spans="1:28" ht="13.35" customHeight="1">
      <c r="A25" s="50" t="s">
        <v>5</v>
      </c>
      <c r="B25" s="141"/>
      <c r="C25" s="80"/>
      <c r="D25" s="93"/>
      <c r="E25" s="226"/>
      <c r="F25" s="89"/>
      <c r="G25" s="81"/>
      <c r="H25" s="82"/>
      <c r="I25" s="83" t="str">
        <f t="shared" si="2"/>
        <v/>
      </c>
      <c r="J25" s="361" t="str">
        <f t="shared" si="3"/>
        <v/>
      </c>
      <c r="K25" s="200">
        <v>22</v>
      </c>
      <c r="L25" s="133">
        <f t="shared" si="4"/>
        <v>0</v>
      </c>
      <c r="M25" s="135" t="s">
        <v>5</v>
      </c>
      <c r="O25" s="244"/>
      <c r="P25" s="244"/>
      <c r="Q25" s="244"/>
      <c r="R25" s="244"/>
      <c r="S25" s="244"/>
      <c r="T25" s="244"/>
      <c r="U25" s="244"/>
      <c r="V25" s="244"/>
      <c r="W25" s="244"/>
      <c r="X25" s="244"/>
      <c r="Y25" s="244"/>
      <c r="Z25" s="244"/>
      <c r="AA25" s="244"/>
      <c r="AB25" s="244"/>
    </row>
    <row r="26" spans="1:28" ht="13.35" customHeight="1">
      <c r="A26" s="50" t="s">
        <v>5</v>
      </c>
      <c r="B26" s="141"/>
      <c r="C26" s="80"/>
      <c r="D26" s="93"/>
      <c r="E26" s="226"/>
      <c r="F26" s="89"/>
      <c r="G26" s="81"/>
      <c r="H26" s="82"/>
      <c r="I26" s="83" t="str">
        <f t="shared" si="2"/>
        <v/>
      </c>
      <c r="J26" s="361" t="str">
        <f t="shared" si="3"/>
        <v/>
      </c>
      <c r="K26" s="200">
        <v>23</v>
      </c>
      <c r="L26" s="133">
        <f t="shared" si="4"/>
        <v>0</v>
      </c>
      <c r="M26" s="135" t="s">
        <v>5</v>
      </c>
      <c r="O26" s="244"/>
      <c r="P26" s="244"/>
      <c r="Q26" s="244"/>
      <c r="R26" s="244"/>
      <c r="S26" s="244"/>
      <c r="T26" s="244"/>
      <c r="U26" s="244"/>
      <c r="V26" s="244"/>
      <c r="W26" s="244"/>
      <c r="X26" s="244"/>
      <c r="Y26" s="244"/>
      <c r="Z26" s="244"/>
      <c r="AA26" s="244"/>
      <c r="AB26" s="244"/>
    </row>
    <row r="27" spans="1:28" ht="13.35" customHeight="1">
      <c r="A27" s="50" t="s">
        <v>5</v>
      </c>
      <c r="B27" s="141"/>
      <c r="C27" s="80"/>
      <c r="D27" s="93"/>
      <c r="E27" s="226"/>
      <c r="F27" s="89"/>
      <c r="G27" s="81"/>
      <c r="H27" s="82"/>
      <c r="I27" s="83" t="str">
        <f t="shared" si="2"/>
        <v/>
      </c>
      <c r="J27" s="361" t="str">
        <f t="shared" si="3"/>
        <v/>
      </c>
      <c r="K27" s="200">
        <v>24</v>
      </c>
      <c r="L27" s="133">
        <f t="shared" si="4"/>
        <v>0</v>
      </c>
      <c r="M27" s="135" t="s">
        <v>5</v>
      </c>
      <c r="O27" s="244"/>
      <c r="P27" s="244"/>
      <c r="Q27" s="244"/>
      <c r="R27" s="244"/>
      <c r="S27" s="244"/>
      <c r="T27" s="244"/>
      <c r="U27" s="244"/>
      <c r="V27" s="244"/>
      <c r="W27" s="244"/>
      <c r="X27" s="244"/>
      <c r="Y27" s="244"/>
      <c r="Z27" s="244"/>
      <c r="AA27" s="244"/>
      <c r="AB27" s="244"/>
    </row>
    <row r="28" spans="1:28" ht="13.35" customHeight="1">
      <c r="A28" s="50" t="s">
        <v>5</v>
      </c>
      <c r="B28" s="141"/>
      <c r="C28" s="80"/>
      <c r="D28" s="93"/>
      <c r="E28" s="226"/>
      <c r="F28" s="89"/>
      <c r="G28" s="81"/>
      <c r="H28" s="82"/>
      <c r="I28" s="83" t="str">
        <f t="shared" si="2"/>
        <v/>
      </c>
      <c r="J28" s="361" t="str">
        <f t="shared" si="3"/>
        <v/>
      </c>
      <c r="K28" s="200">
        <v>25</v>
      </c>
      <c r="L28" s="133">
        <f t="shared" si="4"/>
        <v>0</v>
      </c>
      <c r="M28" s="135" t="s">
        <v>5</v>
      </c>
      <c r="O28" s="244"/>
      <c r="P28" s="244"/>
      <c r="Q28" s="244"/>
      <c r="R28" s="244"/>
      <c r="S28" s="244"/>
      <c r="T28" s="244"/>
      <c r="U28" s="244"/>
      <c r="V28" s="244"/>
      <c r="W28" s="244"/>
      <c r="X28" s="244"/>
      <c r="Y28" s="244"/>
      <c r="Z28" s="244"/>
      <c r="AA28" s="244"/>
      <c r="AB28" s="244"/>
    </row>
    <row r="29" spans="1:28" ht="13.35" customHeight="1">
      <c r="A29" s="50" t="s">
        <v>5</v>
      </c>
      <c r="B29" s="141"/>
      <c r="C29" s="80"/>
      <c r="D29" s="93"/>
      <c r="E29" s="226"/>
      <c r="F29" s="89"/>
      <c r="G29" s="81"/>
      <c r="H29" s="82"/>
      <c r="I29" s="83" t="str">
        <f t="shared" si="2"/>
        <v/>
      </c>
      <c r="J29" s="361" t="str">
        <f t="shared" si="3"/>
        <v/>
      </c>
      <c r="K29" s="200">
        <v>26</v>
      </c>
      <c r="L29" s="133">
        <f t="shared" si="4"/>
        <v>0</v>
      </c>
      <c r="M29" s="135" t="s">
        <v>5</v>
      </c>
      <c r="O29" s="244"/>
      <c r="P29" s="244"/>
      <c r="Q29" s="244"/>
      <c r="R29" s="244"/>
      <c r="S29" s="244"/>
      <c r="T29" s="244"/>
      <c r="U29" s="244"/>
      <c r="V29" s="244"/>
      <c r="W29" s="244"/>
      <c r="X29" s="244"/>
      <c r="Y29" s="244"/>
      <c r="Z29" s="244"/>
      <c r="AA29" s="244"/>
      <c r="AB29" s="244"/>
    </row>
    <row r="30" spans="1:28" ht="13.35" customHeight="1">
      <c r="A30" s="50" t="s">
        <v>5</v>
      </c>
      <c r="B30" s="141"/>
      <c r="C30" s="80"/>
      <c r="D30" s="93"/>
      <c r="E30" s="226"/>
      <c r="F30" s="89"/>
      <c r="G30" s="81"/>
      <c r="H30" s="82"/>
      <c r="I30" s="83" t="str">
        <f t="shared" si="2"/>
        <v/>
      </c>
      <c r="J30" s="361" t="str">
        <f t="shared" si="3"/>
        <v/>
      </c>
      <c r="K30" s="200">
        <v>27</v>
      </c>
      <c r="L30" s="133">
        <f t="shared" si="4"/>
        <v>0</v>
      </c>
      <c r="M30" s="135" t="s">
        <v>5</v>
      </c>
      <c r="O30" s="244"/>
      <c r="P30" s="244"/>
      <c r="Q30" s="244"/>
      <c r="R30" s="244"/>
      <c r="S30" s="244"/>
      <c r="T30" s="244"/>
      <c r="U30" s="244"/>
      <c r="V30" s="244"/>
      <c r="W30" s="244"/>
      <c r="X30" s="244"/>
      <c r="Y30" s="244"/>
      <c r="Z30" s="244"/>
      <c r="AA30" s="244"/>
      <c r="AB30" s="244"/>
    </row>
    <row r="31" spans="1:28" ht="13.35" customHeight="1">
      <c r="A31" s="50" t="s">
        <v>5</v>
      </c>
      <c r="B31" s="141"/>
      <c r="C31" s="80"/>
      <c r="D31" s="93"/>
      <c r="E31" s="226"/>
      <c r="F31" s="89"/>
      <c r="G31" s="81"/>
      <c r="H31" s="82"/>
      <c r="I31" s="83" t="str">
        <f t="shared" si="2"/>
        <v/>
      </c>
      <c r="J31" s="361" t="str">
        <f t="shared" si="3"/>
        <v/>
      </c>
      <c r="K31" s="200">
        <v>28</v>
      </c>
      <c r="L31" s="133">
        <f t="shared" si="4"/>
        <v>0</v>
      </c>
      <c r="M31" s="135" t="s">
        <v>5</v>
      </c>
      <c r="O31" s="244"/>
      <c r="P31" s="244"/>
      <c r="Q31" s="244"/>
      <c r="R31" s="244"/>
      <c r="S31" s="244"/>
      <c r="T31" s="244"/>
      <c r="U31" s="244"/>
      <c r="V31" s="244"/>
      <c r="W31" s="244"/>
      <c r="X31" s="244"/>
      <c r="Y31" s="244"/>
      <c r="Z31" s="244"/>
      <c r="AA31" s="244"/>
      <c r="AB31" s="244"/>
    </row>
    <row r="32" spans="1:28" ht="13.35" customHeight="1">
      <c r="A32" s="50" t="s">
        <v>5</v>
      </c>
      <c r="B32" s="141"/>
      <c r="C32" s="80"/>
      <c r="D32" s="93"/>
      <c r="E32" s="226"/>
      <c r="F32" s="89"/>
      <c r="G32" s="81"/>
      <c r="H32" s="82"/>
      <c r="I32" s="83" t="str">
        <f t="shared" si="2"/>
        <v/>
      </c>
      <c r="J32" s="361" t="str">
        <f t="shared" si="3"/>
        <v/>
      </c>
      <c r="K32" s="200">
        <v>29</v>
      </c>
      <c r="L32" s="133">
        <f t="shared" si="4"/>
        <v>0</v>
      </c>
      <c r="M32" s="135" t="s">
        <v>5</v>
      </c>
      <c r="O32" s="244"/>
      <c r="P32" s="244"/>
      <c r="Q32" s="244"/>
      <c r="R32" s="244"/>
      <c r="S32" s="244"/>
      <c r="T32" s="244"/>
      <c r="U32" s="244"/>
      <c r="V32" s="244"/>
      <c r="W32" s="244"/>
      <c r="X32" s="244"/>
      <c r="Y32" s="244"/>
      <c r="Z32" s="244"/>
      <c r="AA32" s="244"/>
      <c r="AB32" s="244"/>
    </row>
    <row r="33" spans="1:28" ht="13.35" customHeight="1">
      <c r="A33" s="50" t="s">
        <v>5</v>
      </c>
      <c r="B33" s="141"/>
      <c r="C33" s="80"/>
      <c r="D33" s="93"/>
      <c r="E33" s="226"/>
      <c r="F33" s="89"/>
      <c r="G33" s="81"/>
      <c r="H33" s="82"/>
      <c r="I33" s="83" t="str">
        <f t="shared" si="2"/>
        <v/>
      </c>
      <c r="J33" s="361" t="str">
        <f t="shared" si="3"/>
        <v/>
      </c>
      <c r="K33" s="200">
        <v>30</v>
      </c>
      <c r="L33" s="133">
        <f t="shared" si="4"/>
        <v>0</v>
      </c>
      <c r="M33" s="135" t="s">
        <v>5</v>
      </c>
      <c r="O33" s="244"/>
      <c r="P33" s="244"/>
      <c r="Q33" s="244"/>
      <c r="R33" s="244"/>
      <c r="S33" s="244"/>
      <c r="T33" s="244"/>
      <c r="U33" s="244"/>
      <c r="V33" s="244"/>
      <c r="W33" s="244"/>
      <c r="X33" s="244"/>
      <c r="Y33" s="244"/>
      <c r="Z33" s="244"/>
      <c r="AA33" s="244"/>
      <c r="AB33" s="244"/>
    </row>
    <row r="34" spans="1:28" ht="13.35" customHeight="1">
      <c r="A34" s="50" t="s">
        <v>5</v>
      </c>
      <c r="B34" s="141"/>
      <c r="C34" s="80"/>
      <c r="D34" s="93"/>
      <c r="E34" s="226"/>
      <c r="F34" s="89"/>
      <c r="G34" s="81"/>
      <c r="H34" s="82"/>
      <c r="I34" s="83" t="str">
        <f t="shared" si="2"/>
        <v/>
      </c>
      <c r="J34" s="361" t="str">
        <f t="shared" si="3"/>
        <v/>
      </c>
      <c r="K34" s="200">
        <v>31</v>
      </c>
      <c r="L34" s="133">
        <f t="shared" si="4"/>
        <v>0</v>
      </c>
      <c r="M34" s="135" t="s">
        <v>5</v>
      </c>
      <c r="O34" s="244"/>
      <c r="P34" s="244"/>
      <c r="Q34" s="244"/>
      <c r="R34" s="244"/>
      <c r="S34" s="244"/>
      <c r="T34" s="244"/>
      <c r="U34" s="244"/>
      <c r="V34" s="244"/>
      <c r="W34" s="244"/>
      <c r="X34" s="244"/>
      <c r="Y34" s="244"/>
      <c r="Z34" s="244"/>
      <c r="AA34" s="244"/>
      <c r="AB34" s="244"/>
    </row>
    <row r="35" spans="1:28" ht="13.35" customHeight="1">
      <c r="A35" s="50" t="s">
        <v>5</v>
      </c>
      <c r="B35" s="141"/>
      <c r="C35" s="80"/>
      <c r="D35" s="93"/>
      <c r="E35" s="226"/>
      <c r="F35" s="89"/>
      <c r="G35" s="81"/>
      <c r="H35" s="82"/>
      <c r="I35" s="83" t="str">
        <f t="shared" si="2"/>
        <v/>
      </c>
      <c r="J35" s="361" t="str">
        <f t="shared" si="3"/>
        <v/>
      </c>
      <c r="K35" s="200">
        <v>32</v>
      </c>
      <c r="L35" s="133">
        <f t="shared" si="4"/>
        <v>0</v>
      </c>
      <c r="M35" s="135" t="s">
        <v>5</v>
      </c>
      <c r="O35" s="244"/>
      <c r="P35" s="244"/>
      <c r="Q35" s="244"/>
      <c r="R35" s="244"/>
      <c r="S35" s="244"/>
      <c r="T35" s="244"/>
      <c r="U35" s="244"/>
      <c r="V35" s="244"/>
      <c r="W35" s="244"/>
      <c r="X35" s="244"/>
      <c r="Y35" s="244"/>
      <c r="Z35" s="244"/>
      <c r="AA35" s="244"/>
      <c r="AB35" s="244"/>
    </row>
    <row r="36" spans="1:28" ht="13.35" customHeight="1">
      <c r="A36" s="50" t="s">
        <v>5</v>
      </c>
      <c r="B36" s="141"/>
      <c r="C36" s="80"/>
      <c r="D36" s="93"/>
      <c r="E36" s="226"/>
      <c r="F36" s="89"/>
      <c r="G36" s="81"/>
      <c r="H36" s="82"/>
      <c r="I36" s="83" t="str">
        <f t="shared" si="2"/>
        <v/>
      </c>
      <c r="J36" s="361" t="str">
        <f t="shared" si="3"/>
        <v/>
      </c>
      <c r="K36" s="200">
        <v>33</v>
      </c>
      <c r="L36" s="133">
        <f t="shared" si="4"/>
        <v>0</v>
      </c>
      <c r="M36" s="135" t="s">
        <v>5</v>
      </c>
      <c r="O36" s="244"/>
      <c r="P36" s="244"/>
      <c r="Q36" s="244"/>
      <c r="R36" s="244"/>
      <c r="S36" s="244"/>
      <c r="T36" s="244"/>
      <c r="U36" s="244"/>
      <c r="V36" s="244"/>
      <c r="W36" s="244"/>
      <c r="X36" s="244"/>
      <c r="Y36" s="244"/>
      <c r="Z36" s="244"/>
      <c r="AA36" s="244"/>
      <c r="AB36" s="244"/>
    </row>
    <row r="37" spans="1:28" ht="13.35" customHeight="1">
      <c r="A37" s="50" t="s">
        <v>5</v>
      </c>
      <c r="B37" s="141"/>
      <c r="C37" s="80"/>
      <c r="D37" s="93"/>
      <c r="E37" s="226"/>
      <c r="F37" s="89"/>
      <c r="G37" s="81"/>
      <c r="H37" s="82"/>
      <c r="I37" s="83" t="str">
        <f t="shared" si="2"/>
        <v/>
      </c>
      <c r="J37" s="361" t="str">
        <f t="shared" si="3"/>
        <v/>
      </c>
      <c r="K37" s="200">
        <v>34</v>
      </c>
      <c r="L37" s="133">
        <f t="shared" si="4"/>
        <v>0</v>
      </c>
      <c r="M37" s="135" t="s">
        <v>5</v>
      </c>
      <c r="O37" s="244"/>
      <c r="P37" s="244"/>
      <c r="Q37" s="244"/>
      <c r="R37" s="244"/>
      <c r="S37" s="244"/>
      <c r="T37" s="244"/>
      <c r="U37" s="244"/>
      <c r="V37" s="244"/>
      <c r="W37" s="244"/>
      <c r="X37" s="244"/>
      <c r="Y37" s="244"/>
      <c r="Z37" s="244"/>
      <c r="AA37" s="244"/>
      <c r="AB37" s="244"/>
    </row>
    <row r="38" spans="1:28" ht="13.35" customHeight="1">
      <c r="A38" s="50" t="s">
        <v>5</v>
      </c>
      <c r="B38" s="141"/>
      <c r="C38" s="80"/>
      <c r="D38" s="93"/>
      <c r="E38" s="226"/>
      <c r="F38" s="89"/>
      <c r="G38" s="81"/>
      <c r="H38" s="82"/>
      <c r="I38" s="83" t="str">
        <f t="shared" si="2"/>
        <v/>
      </c>
      <c r="J38" s="361" t="str">
        <f t="shared" si="3"/>
        <v/>
      </c>
      <c r="K38" s="200">
        <v>35</v>
      </c>
      <c r="L38" s="133">
        <f t="shared" si="4"/>
        <v>0</v>
      </c>
      <c r="M38" s="135" t="s">
        <v>5</v>
      </c>
      <c r="O38" s="244"/>
      <c r="P38" s="244"/>
      <c r="Q38" s="244"/>
      <c r="R38" s="244"/>
      <c r="S38" s="244"/>
      <c r="T38" s="244"/>
      <c r="U38" s="244"/>
      <c r="V38" s="244"/>
      <c r="W38" s="244"/>
      <c r="X38" s="244"/>
      <c r="Y38" s="244"/>
      <c r="Z38" s="244"/>
      <c r="AA38" s="244"/>
      <c r="AB38" s="244"/>
    </row>
    <row r="39" spans="1:28" ht="13.35" customHeight="1">
      <c r="A39" s="50" t="s">
        <v>5</v>
      </c>
      <c r="B39" s="141"/>
      <c r="C39" s="80"/>
      <c r="D39" s="93"/>
      <c r="E39" s="226"/>
      <c r="F39" s="89"/>
      <c r="G39" s="81"/>
      <c r="H39" s="82"/>
      <c r="I39" s="83" t="str">
        <f t="shared" si="2"/>
        <v/>
      </c>
      <c r="J39" s="361" t="str">
        <f t="shared" si="3"/>
        <v/>
      </c>
      <c r="K39" s="200">
        <v>36</v>
      </c>
      <c r="L39" s="133">
        <f t="shared" si="4"/>
        <v>0</v>
      </c>
      <c r="M39" s="135" t="s">
        <v>5</v>
      </c>
      <c r="O39" s="244"/>
      <c r="P39" s="244"/>
      <c r="Q39" s="244"/>
      <c r="R39" s="244"/>
      <c r="S39" s="244"/>
      <c r="T39" s="244"/>
      <c r="U39" s="244"/>
      <c r="V39" s="244"/>
      <c r="W39" s="244"/>
      <c r="X39" s="244"/>
      <c r="Y39" s="244"/>
      <c r="Z39" s="244"/>
      <c r="AA39" s="244"/>
      <c r="AB39" s="244"/>
    </row>
    <row r="40" spans="1:28" ht="13.35" customHeight="1">
      <c r="A40" s="50" t="s">
        <v>5</v>
      </c>
      <c r="B40" s="141"/>
      <c r="C40" s="80"/>
      <c r="D40" s="93"/>
      <c r="E40" s="226"/>
      <c r="F40" s="89"/>
      <c r="G40" s="81"/>
      <c r="H40" s="82"/>
      <c r="I40" s="83" t="str">
        <f t="shared" si="2"/>
        <v/>
      </c>
      <c r="J40" s="361" t="str">
        <f t="shared" si="3"/>
        <v/>
      </c>
      <c r="K40" s="200">
        <v>37</v>
      </c>
      <c r="L40" s="133">
        <f t="shared" si="4"/>
        <v>0</v>
      </c>
      <c r="M40" s="135" t="s">
        <v>5</v>
      </c>
      <c r="O40" s="244"/>
      <c r="P40" s="244"/>
      <c r="Q40" s="244"/>
      <c r="R40" s="244"/>
      <c r="S40" s="244"/>
      <c r="T40" s="244"/>
      <c r="U40" s="244"/>
      <c r="V40" s="244"/>
      <c r="W40" s="244"/>
      <c r="X40" s="244"/>
      <c r="Y40" s="244"/>
      <c r="Z40" s="244"/>
      <c r="AA40" s="244"/>
      <c r="AB40" s="244"/>
    </row>
    <row r="41" spans="1:28" ht="13.35" customHeight="1">
      <c r="A41" s="50" t="s">
        <v>5</v>
      </c>
      <c r="B41" s="141"/>
      <c r="C41" s="80"/>
      <c r="D41" s="93"/>
      <c r="E41" s="226"/>
      <c r="F41" s="89"/>
      <c r="G41" s="81"/>
      <c r="H41" s="82"/>
      <c r="I41" s="83" t="str">
        <f t="shared" si="2"/>
        <v/>
      </c>
      <c r="J41" s="361" t="str">
        <f t="shared" si="3"/>
        <v/>
      </c>
      <c r="K41" s="200">
        <v>38</v>
      </c>
      <c r="L41" s="133">
        <f t="shared" si="4"/>
        <v>0</v>
      </c>
      <c r="M41" s="135" t="s">
        <v>5</v>
      </c>
      <c r="O41" s="244"/>
      <c r="P41" s="244"/>
      <c r="Q41" s="244"/>
      <c r="R41" s="244"/>
      <c r="S41" s="244"/>
      <c r="T41" s="244"/>
      <c r="U41" s="244"/>
      <c r="V41" s="244"/>
      <c r="W41" s="244"/>
      <c r="X41" s="244"/>
      <c r="Y41" s="244"/>
      <c r="Z41" s="244"/>
      <c r="AA41" s="244"/>
      <c r="AB41" s="244"/>
    </row>
    <row r="42" spans="1:28" ht="13.35" customHeight="1">
      <c r="A42" s="50" t="s">
        <v>5</v>
      </c>
      <c r="B42" s="141"/>
      <c r="C42" s="80"/>
      <c r="D42" s="93"/>
      <c r="E42" s="226"/>
      <c r="F42" s="89"/>
      <c r="G42" s="81"/>
      <c r="H42" s="82"/>
      <c r="I42" s="83" t="str">
        <f t="shared" si="2"/>
        <v/>
      </c>
      <c r="J42" s="361" t="str">
        <f t="shared" si="3"/>
        <v/>
      </c>
      <c r="K42" s="200">
        <v>39</v>
      </c>
      <c r="L42" s="133">
        <f t="shared" si="4"/>
        <v>0</v>
      </c>
      <c r="M42" s="135" t="s">
        <v>5</v>
      </c>
      <c r="O42" s="244"/>
      <c r="P42" s="244"/>
      <c r="Q42" s="244"/>
      <c r="R42" s="244"/>
      <c r="S42" s="244"/>
      <c r="T42" s="244"/>
      <c r="U42" s="244"/>
      <c r="V42" s="244"/>
      <c r="W42" s="244"/>
      <c r="X42" s="244"/>
      <c r="Y42" s="244"/>
      <c r="Z42" s="244"/>
      <c r="AA42" s="244"/>
      <c r="AB42" s="244"/>
    </row>
    <row r="43" spans="1:28" ht="13.35" customHeight="1">
      <c r="A43" s="50" t="s">
        <v>5</v>
      </c>
      <c r="B43" s="141"/>
      <c r="C43" s="80"/>
      <c r="D43" s="93"/>
      <c r="E43" s="226"/>
      <c r="F43" s="89"/>
      <c r="G43" s="81"/>
      <c r="H43" s="82"/>
      <c r="I43" s="83" t="str">
        <f t="shared" si="2"/>
        <v/>
      </c>
      <c r="J43" s="361" t="str">
        <f t="shared" si="3"/>
        <v/>
      </c>
      <c r="K43" s="200">
        <v>40</v>
      </c>
      <c r="L43" s="133">
        <f t="shared" si="4"/>
        <v>0</v>
      </c>
      <c r="M43" s="135" t="s">
        <v>5</v>
      </c>
      <c r="O43" s="244"/>
      <c r="P43" s="244"/>
      <c r="Q43" s="244"/>
      <c r="R43" s="244"/>
      <c r="S43" s="244"/>
      <c r="T43" s="244"/>
      <c r="U43" s="244"/>
      <c r="V43" s="244"/>
      <c r="W43" s="244"/>
      <c r="X43" s="244"/>
      <c r="Y43" s="244"/>
      <c r="Z43" s="244"/>
      <c r="AA43" s="244"/>
      <c r="AB43" s="244"/>
    </row>
    <row r="44" spans="1:28" ht="13.35" customHeight="1">
      <c r="A44" s="50" t="s">
        <v>5</v>
      </c>
      <c r="B44" s="141"/>
      <c r="C44" s="80"/>
      <c r="D44" s="93"/>
      <c r="E44" s="226"/>
      <c r="F44" s="89"/>
      <c r="G44" s="81"/>
      <c r="H44" s="82"/>
      <c r="I44" s="83" t="str">
        <f t="shared" si="2"/>
        <v/>
      </c>
      <c r="J44" s="361" t="str">
        <f t="shared" si="3"/>
        <v/>
      </c>
      <c r="K44" s="200">
        <v>41</v>
      </c>
      <c r="L44" s="133">
        <f t="shared" si="4"/>
        <v>0</v>
      </c>
      <c r="M44" s="135" t="s">
        <v>5</v>
      </c>
      <c r="O44" s="244"/>
      <c r="P44" s="244"/>
      <c r="Q44" s="244"/>
      <c r="R44" s="244"/>
      <c r="S44" s="244"/>
      <c r="T44" s="244"/>
      <c r="U44" s="244"/>
      <c r="V44" s="244"/>
      <c r="W44" s="244"/>
      <c r="X44" s="244"/>
      <c r="Y44" s="244"/>
      <c r="Z44" s="244"/>
      <c r="AA44" s="244"/>
      <c r="AB44" s="244"/>
    </row>
    <row r="45" spans="1:28" ht="13.35" customHeight="1">
      <c r="A45" s="50" t="s">
        <v>5</v>
      </c>
      <c r="B45" s="141"/>
      <c r="C45" s="80"/>
      <c r="D45" s="93"/>
      <c r="E45" s="226"/>
      <c r="F45" s="89"/>
      <c r="G45" s="81"/>
      <c r="H45" s="82"/>
      <c r="I45" s="83" t="str">
        <f t="shared" ref="I45" si="7">IF(G45&lt;&gt;"",+G45-G45/(1+H45/100),"")</f>
        <v/>
      </c>
      <c r="J45" s="361" t="str">
        <f t="shared" ref="J45" si="8">IF(G45&lt;&gt;0,+G45-I45,"")</f>
        <v/>
      </c>
      <c r="K45" s="200">
        <v>44</v>
      </c>
      <c r="L45" s="133">
        <f t="shared" ref="L45" si="9">IF(B45&lt;$O$2,0,IF(B45&lt;$P$2,1,IF(B45&lt;$Q$2,2,IF(B45&lt;$R$2,3,IF(B45&lt;$S$2,4,IF(B45&lt;$T$2,5,IF(B45&lt;$U$2,6,IF(B45&lt;$V$2,7,IF(B45&lt;$W$2,8,IF(B45&lt;$X$2,9,IF(B45&lt;$Y$2,10,IF(B45&lt;$Z$2,11,IF(B45&lt;=$Z$3,12,0)))))))))))))</f>
        <v>0</v>
      </c>
      <c r="M45" s="135" t="s">
        <v>5</v>
      </c>
      <c r="O45" s="244"/>
      <c r="P45" s="244"/>
      <c r="Q45" s="244"/>
      <c r="R45" s="244"/>
      <c r="S45" s="244"/>
      <c r="T45" s="244"/>
      <c r="U45" s="244"/>
      <c r="V45" s="244"/>
      <c r="W45" s="244"/>
      <c r="X45" s="244"/>
      <c r="Y45" s="244"/>
      <c r="Z45" s="244"/>
      <c r="AA45" s="244"/>
      <c r="AB45" s="244"/>
    </row>
    <row r="46" spans="1:28" ht="13.35" customHeight="1" thickBot="1">
      <c r="A46" s="50" t="s">
        <v>5</v>
      </c>
      <c r="B46" s="141"/>
      <c r="C46" s="80"/>
      <c r="D46" s="93"/>
      <c r="E46" s="226"/>
      <c r="F46" s="89"/>
      <c r="G46" s="81"/>
      <c r="H46" s="82"/>
      <c r="I46" s="83" t="str">
        <f t="shared" ref="I46" si="10">IF(G46&lt;&gt;"",+G46-G46/(1+H46/100),"")</f>
        <v/>
      </c>
      <c r="J46" s="361" t="str">
        <f t="shared" ref="J46" si="11">IF(G46&lt;&gt;0,+G46-I46,"")</f>
        <v/>
      </c>
      <c r="K46" s="200">
        <v>46</v>
      </c>
      <c r="L46" s="133">
        <f t="shared" ref="L46" si="12">IF(B46&lt;$O$2,0,IF(B46&lt;$P$2,1,IF(B46&lt;$Q$2,2,IF(B46&lt;$R$2,3,IF(B46&lt;$S$2,4,IF(B46&lt;$T$2,5,IF(B46&lt;$U$2,6,IF(B46&lt;$V$2,7,IF(B46&lt;$W$2,8,IF(B46&lt;$X$2,9,IF(B46&lt;$Y$2,10,IF(B46&lt;$Z$2,11,IF(B46&lt;=$Z$3,12,0)))))))))))))</f>
        <v>0</v>
      </c>
      <c r="M46" s="135" t="s">
        <v>5</v>
      </c>
      <c r="O46" s="244"/>
      <c r="P46" s="244"/>
      <c r="Q46" s="244"/>
      <c r="R46" s="244"/>
      <c r="S46" s="244"/>
      <c r="T46" s="244"/>
      <c r="U46" s="244"/>
      <c r="V46" s="244"/>
      <c r="W46" s="244"/>
      <c r="X46" s="244"/>
      <c r="Y46" s="244"/>
      <c r="Z46" s="244"/>
      <c r="AA46" s="244"/>
      <c r="AB46" s="244"/>
    </row>
    <row r="47" spans="1:28" ht="12" customHeight="1" thickTop="1" thickBot="1">
      <c r="A47" s="391" t="s">
        <v>283</v>
      </c>
      <c r="B47" s="1244" t="str">
        <f>IF($A$48=0,"^ Zeile einfügen","bis hierher ziehen!")</f>
        <v>^ Zeile einfügen</v>
      </c>
      <c r="C47" s="1244"/>
      <c r="D47" s="392" t="s">
        <v>5</v>
      </c>
      <c r="E47" s="393" t="s">
        <v>5</v>
      </c>
      <c r="F47" s="394" t="s">
        <v>5</v>
      </c>
      <c r="G47" s="394"/>
      <c r="H47" s="395"/>
      <c r="I47" s="396"/>
      <c r="J47" s="425"/>
      <c r="K47" s="201">
        <v>0</v>
      </c>
      <c r="L47" s="185" t="s">
        <v>5</v>
      </c>
      <c r="M47" s="398" t="s">
        <v>283</v>
      </c>
    </row>
    <row r="48" spans="1:28" ht="12" customHeight="1" thickTop="1" thickBot="1">
      <c r="A48" s="390">
        <f>COUNTBLANK(A3:A47)+A49</f>
        <v>0</v>
      </c>
      <c r="B48" s="193" t="str">
        <f>+EÜR!C34</f>
        <v>ü</v>
      </c>
      <c r="C48" s="194" t="s">
        <v>5</v>
      </c>
      <c r="D48" s="194" t="s">
        <v>5</v>
      </c>
      <c r="E48" s="195" t="s">
        <v>5</v>
      </c>
      <c r="F48" s="196" t="s">
        <v>5</v>
      </c>
      <c r="G48" s="197">
        <f>SUBTOTAL(9,G3:G47)</f>
        <v>0</v>
      </c>
      <c r="H48" s="1242">
        <f>SUBTOTAL(9,I3:I47)</f>
        <v>0</v>
      </c>
      <c r="I48" s="1243">
        <f>SUBTOTAL(9,I3:I47)</f>
        <v>0</v>
      </c>
      <c r="J48" s="1293">
        <f>G48-H48</f>
        <v>0</v>
      </c>
      <c r="K48" s="1294"/>
      <c r="L48" s="1295"/>
      <c r="M48" s="135" t="s">
        <v>5</v>
      </c>
    </row>
    <row r="49" spans="1:14" ht="12" customHeight="1" thickTop="1" thickBot="1">
      <c r="A49" s="390">
        <f>IF(ISERROR(J47),1,0)</f>
        <v>0</v>
      </c>
      <c r="B49" s="192">
        <f>J48-G49-E49-C49</f>
        <v>0</v>
      </c>
      <c r="C49" s="1239">
        <f>SUMIF(F4:F47,"Kreditkarte",G4:G47)</f>
        <v>0</v>
      </c>
      <c r="D49" s="1239"/>
      <c r="E49" s="1240">
        <f>SUMIF(F4:F47,"Konto",G4:G47)</f>
        <v>0</v>
      </c>
      <c r="F49" s="1240"/>
      <c r="G49" s="1241">
        <f>SUMIF(F4:F47,"Geldbeutel",G4:G47)</f>
        <v>0</v>
      </c>
      <c r="H49" s="1241"/>
      <c r="I49" s="1241"/>
      <c r="J49" s="1296"/>
      <c r="K49" s="1297"/>
      <c r="L49" s="1298"/>
      <c r="M49" s="135" t="s">
        <v>5</v>
      </c>
    </row>
    <row r="50" spans="1:14" s="15" customFormat="1" ht="5.25" customHeight="1" thickTop="1">
      <c r="A50" s="36"/>
      <c r="B50" s="2"/>
      <c r="C50" s="3"/>
      <c r="D50" s="3"/>
      <c r="E50" s="1"/>
      <c r="G50" s="16"/>
      <c r="H50" s="16"/>
      <c r="I50" s="17"/>
      <c r="J50" s="18"/>
      <c r="K50" s="18"/>
      <c r="L50" s="31"/>
      <c r="N50" s="148"/>
    </row>
    <row r="51" spans="1:14">
      <c r="A51" s="36"/>
    </row>
  </sheetData>
  <sheetProtection formatCells="0" insertRows="0" deleteRows="0" selectLockedCells="1" sort="0" autoFilter="0"/>
  <sortState xmlns:xlrd2="http://schemas.microsoft.com/office/spreadsheetml/2017/richdata2" ref="B4:H13">
    <sortCondition ref="B4:B13"/>
  </sortState>
  <mergeCells count="15">
    <mergeCell ref="C2:I2"/>
    <mergeCell ref="J2:L2"/>
    <mergeCell ref="AA9:AB9"/>
    <mergeCell ref="O10:Z10"/>
    <mergeCell ref="O11:Z11"/>
    <mergeCell ref="AA4:AB4"/>
    <mergeCell ref="AA13:AB13"/>
    <mergeCell ref="O14:Z14"/>
    <mergeCell ref="AA14:AB14"/>
    <mergeCell ref="J48:L49"/>
    <mergeCell ref="C49:D49"/>
    <mergeCell ref="E49:F49"/>
    <mergeCell ref="G49:I49"/>
    <mergeCell ref="H48:I48"/>
    <mergeCell ref="B47:C47"/>
  </mergeCells>
  <phoneticPr fontId="188" type="noConversion"/>
  <conditionalFormatting sqref="A4:A46">
    <cfRule type="expression" dxfId="936" priority="23">
      <formula>ISERROR(J4)</formula>
    </cfRule>
    <cfRule type="cellIs" dxfId="935" priority="24" operator="equal">
      <formula>""</formula>
    </cfRule>
  </conditionalFormatting>
  <conditionalFormatting sqref="A47:C47">
    <cfRule type="expression" dxfId="934" priority="8">
      <formula>$A$48&lt;&gt;0</formula>
    </cfRule>
  </conditionalFormatting>
  <conditionalFormatting sqref="B2">
    <cfRule type="expression" dxfId="933" priority="50" stopIfTrue="1">
      <formula>$B$48="x"</formula>
    </cfRule>
  </conditionalFormatting>
  <conditionalFormatting sqref="B4:B46">
    <cfRule type="cellIs" dxfId="930" priority="37" operator="equal">
      <formula>""</formula>
    </cfRule>
  </conditionalFormatting>
  <conditionalFormatting sqref="B48">
    <cfRule type="cellIs" dxfId="929" priority="73" operator="equal">
      <formula>"y"</formula>
    </cfRule>
  </conditionalFormatting>
  <conditionalFormatting sqref="B3:J3">
    <cfRule type="expression" dxfId="928" priority="10397">
      <formula>$B$48="x"</formula>
    </cfRule>
  </conditionalFormatting>
  <conditionalFormatting sqref="B4:J46">
    <cfRule type="expression" dxfId="927" priority="33">
      <formula>$B$1="x"</formula>
    </cfRule>
  </conditionalFormatting>
  <conditionalFormatting sqref="B3:L3">
    <cfRule type="expression" dxfId="926" priority="67">
      <formula>$B$48="x"</formula>
    </cfRule>
  </conditionalFormatting>
  <conditionalFormatting sqref="C4:D46">
    <cfRule type="expression" dxfId="925" priority="40">
      <formula>AND($B4&lt;&gt;"",$C4="")</formula>
    </cfRule>
  </conditionalFormatting>
  <conditionalFormatting sqref="C49:I49">
    <cfRule type="cellIs" dxfId="924" priority="72" stopIfTrue="1" operator="lessThan">
      <formula>0</formula>
    </cfRule>
    <cfRule type="cellIs" dxfId="923" priority="70" stopIfTrue="1" operator="greaterThanOrEqual">
      <formula>0</formula>
    </cfRule>
  </conditionalFormatting>
  <conditionalFormatting sqref="D47:J47">
    <cfRule type="expression" dxfId="922" priority="10">
      <formula>$A$48&lt;&gt;0</formula>
    </cfRule>
  </conditionalFormatting>
  <conditionalFormatting sqref="H4:H46">
    <cfRule type="expression" dxfId="921" priority="36">
      <formula>AND(G4&lt;&gt;"",H4="",$I$1&lt;&gt;"x")</formula>
    </cfRule>
  </conditionalFormatting>
  <conditionalFormatting sqref="H4:I46">
    <cfRule type="expression" dxfId="920" priority="34">
      <formula>AND($I4&lt;&gt;0,$I$1&lt;&gt;"ü")</formula>
    </cfRule>
    <cfRule type="expression" dxfId="919" priority="35">
      <formula>$I$1&lt;&gt;"ü"</formula>
    </cfRule>
  </conditionalFormatting>
  <conditionalFormatting sqref="J48:L48 C49:L49 C48:H48">
    <cfRule type="expression" dxfId="917" priority="69">
      <formula>$B$48="x"</formula>
    </cfRule>
  </conditionalFormatting>
  <conditionalFormatting sqref="J48:L49">
    <cfRule type="expression" dxfId="916" priority="68">
      <formula>AND($B$48="x",$J$48&lt;&gt;0)</formula>
    </cfRule>
  </conditionalFormatting>
  <conditionalFormatting sqref="K4:L46">
    <cfRule type="expression" dxfId="915" priority="17959">
      <formula>$B$48="x"</formula>
    </cfRule>
  </conditionalFormatting>
  <conditionalFormatting sqref="M3">
    <cfRule type="cellIs" dxfId="914" priority="32" operator="equal">
      <formula>""</formula>
    </cfRule>
  </conditionalFormatting>
  <conditionalFormatting sqref="M4:M46">
    <cfRule type="expression" dxfId="913" priority="30">
      <formula>ISERROR(J4)</formula>
    </cfRule>
    <cfRule type="cellIs" dxfId="912" priority="31" operator="equal">
      <formula>""</formula>
    </cfRule>
  </conditionalFormatting>
  <conditionalFormatting sqref="M47">
    <cfRule type="expression" dxfId="911" priority="9">
      <formula>$A$48&lt;&gt;0</formula>
    </cfRule>
  </conditionalFormatting>
  <conditionalFormatting sqref="M47:M49">
    <cfRule type="cellIs" dxfId="910" priority="12" operator="equal">
      <formula>""</formula>
    </cfRule>
  </conditionalFormatting>
  <conditionalFormatting sqref="N10:AB10">
    <cfRule type="expression" dxfId="909" priority="7">
      <formula>$N$2=0</formula>
    </cfRule>
  </conditionalFormatting>
  <conditionalFormatting sqref="O11:Z11">
    <cfRule type="cellIs" dxfId="908" priority="54" operator="equal">
      <formula>"Fehler!"</formula>
    </cfRule>
  </conditionalFormatting>
  <conditionalFormatting sqref="O4:AA4">
    <cfRule type="expression" dxfId="904" priority="49">
      <formula>$N$2=0</formula>
    </cfRule>
  </conditionalFormatting>
  <conditionalFormatting sqref="O2:AB3">
    <cfRule type="expression" dxfId="902" priority="2">
      <formula>$N$2=0</formula>
    </cfRule>
  </conditionalFormatting>
  <conditionalFormatting sqref="O5:AB8 O9:AA9">
    <cfRule type="expression" dxfId="901" priority="53">
      <formula>$N$2=0</formula>
    </cfRule>
  </conditionalFormatting>
  <conditionalFormatting sqref="O11:AB14">
    <cfRule type="expression" dxfId="900" priority="1">
      <formula>$N$2=0</formula>
    </cfRule>
  </conditionalFormatting>
  <conditionalFormatting sqref="O47:AB49">
    <cfRule type="expression" dxfId="899" priority="11">
      <formula>$N$2=0</formula>
    </cfRule>
  </conditionalFormatting>
  <dataValidations count="2">
    <dataValidation type="list" allowBlank="1" showInputMessage="1" showErrorMessage="1" sqref="H4:H46" xr:uid="{0FC31D15-8FC5-486F-8BAB-DCB494EE6359}">
      <formula1>"19,7,0,~"</formula1>
    </dataValidation>
    <dataValidation type="list" allowBlank="1" showInputMessage="1" showErrorMessage="1" sqref="F4:F46" xr:uid="{9CE701E0-F6BC-4230-B656-B6F11A78D242}">
      <formula1>"Konto,Geldbeutel,Kreditkarte,x"</formula1>
    </dataValidation>
  </dataValidations>
  <hyperlinks>
    <hyperlink ref="J2" location="'2022 EÜR'!A1" display="Menü" xr:uid="{77682ECD-69BD-4E2A-9B8E-E44E8842A73A}"/>
    <hyperlink ref="J2:L2" location="EÜR!A1" display="EÜR" xr:uid="{C45B090B-B82F-4BB6-95BD-9A9CFE0C06DD}"/>
  </hyperlinks>
  <printOptions horizontalCentered="1"/>
  <pageMargins left="0" right="0" top="0" bottom="0.31496062992125984" header="0" footer="0"/>
  <pageSetup paperSize="9" orientation="portrait" r:id="rId1"/>
  <headerFooter>
    <oddFooter>&amp;L&amp;"Arial,Standard"&amp;8Datei: &amp;Z&amp;F/&amp;A&amp;C&amp;"Arial,Standard"&amp;8Seite &amp;P von &amp;N&amp;R&amp;"Arial,Standard"&amp;8Druck: &amp;D&amp;T Uhr</oddFooter>
  </headerFooter>
  <extLst>
    <ext xmlns:x14="http://schemas.microsoft.com/office/spreadsheetml/2009/9/main" uri="{78C0D931-6437-407d-A8EE-F0AAD7539E65}">
      <x14:conditionalFormattings>
        <x14:conditionalFormatting xmlns:xm="http://schemas.microsoft.com/office/excel/2006/main">
          <x14:cfRule type="cellIs" priority="38" operator="greaterThan" id="{5BD399E5-164D-45BA-9452-0795FDDACD81}">
            <xm:f>EÜR!$I$78</xm:f>
            <x14:dxf>
              <font>
                <b/>
                <i val="0"/>
                <color rgb="FFFFFF00"/>
              </font>
              <fill>
                <patternFill>
                  <bgColor rgb="FFC00000"/>
                </patternFill>
              </fill>
            </x14:dxf>
          </x14:cfRule>
          <x14:cfRule type="cellIs" priority="39" operator="lessThan" id="{595FC1FF-1087-4422-9184-2C349CDAE099}">
            <xm:f>EÜR!$I$77</xm:f>
            <x14:dxf>
              <font>
                <b/>
                <i val="0"/>
                <color rgb="FFFFFF00"/>
              </font>
              <fill>
                <patternFill>
                  <bgColor rgb="FFC00000"/>
                </patternFill>
              </fill>
            </x14:dxf>
          </x14:cfRule>
          <xm:sqref>B4:B46</xm:sqref>
        </x14:conditionalFormatting>
        <x14:conditionalFormatting xmlns:xm="http://schemas.microsoft.com/office/excel/2006/main">
          <x14:cfRule type="expression" priority="51" id="{0554198B-8F43-4175-BAD7-BD03CD0C711F}">
            <xm:f>AND(EÜR!$J$66&lt;&gt;"ü",$H$48&lt;&gt;0)</xm:f>
            <x14:dxf>
              <font>
                <b/>
                <i val="0"/>
                <color rgb="FFFFFF00"/>
              </font>
              <fill>
                <patternFill>
                  <bgColor rgb="FFFF0000"/>
                </patternFill>
              </fill>
            </x14:dxf>
          </x14:cfRule>
          <xm:sqref>H48:I48</xm:sqref>
        </x14:conditionalFormatting>
        <x14:conditionalFormatting xmlns:xm="http://schemas.microsoft.com/office/excel/2006/main">
          <x14:cfRule type="expression" priority="55" id="{B4A9D9AD-A400-47B5-ABB1-DEDC2E0571BA}">
            <xm:f>AND(O13&lt;&gt;0,U!L36="!",U!L37="!")</xm:f>
            <x14:dxf>
              <font>
                <b/>
                <i val="0"/>
                <color rgb="FFFF0000"/>
              </font>
              <fill>
                <patternFill>
                  <bgColor rgb="FFFFCCCC"/>
                </patternFill>
              </fill>
            </x14:dxf>
          </x14:cfRule>
          <x14:cfRule type="expression" priority="56" id="{D40DFBAA-B3F0-4944-BF45-CB1873F4C700}">
            <xm:f>U!L37&lt;&gt;"!"</xm:f>
            <x14:dxf>
              <font>
                <b/>
                <i val="0"/>
                <color rgb="FF006666"/>
              </font>
              <fill>
                <patternFill>
                  <bgColor theme="6" tint="0.39994506668294322"/>
                </patternFill>
              </fill>
            </x14:dxf>
          </x14:cfRule>
          <x14:cfRule type="expression" priority="57" id="{84CB4D02-A5BF-4562-9BB5-BA482CC3E193}">
            <xm:f>U!L36&lt;&gt;"!"</xm:f>
            <x14:dxf>
              <font>
                <b/>
                <i val="0"/>
                <color theme="9" tint="-0.499984740745262"/>
              </font>
              <fill>
                <patternFill>
                  <bgColor rgb="FFFFFF99"/>
                </patternFill>
              </fill>
            </x14:dxf>
          </x14:cfRule>
          <xm:sqref>O13:Z13</xm:sqref>
        </x14:conditionalFormatting>
        <x14:conditionalFormatting xmlns:xm="http://schemas.microsoft.com/office/excel/2006/main">
          <x14:cfRule type="expression" priority="3" id="{765F4439-9B52-4FD5-AA04-65DC32407DE8}">
            <xm:f>EÜR!$J$66="-"</xm:f>
            <x14:dxf>
              <font>
                <b/>
                <i val="0"/>
                <color theme="0"/>
              </font>
              <fill>
                <patternFill>
                  <bgColor theme="0"/>
                </patternFill>
              </fill>
              <border>
                <left/>
                <right/>
                <top/>
                <bottom/>
              </border>
            </x14:dxf>
          </x14:cfRule>
          <xm:sqref>O12:AA14</xm:sqref>
        </x14:conditionalFormatting>
      </x14:conditionalFormattings>
    </ext>
  </extLst>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CA38E5-6989-490C-9A18-AC02BF22C55F}">
  <sheetPr codeName="Tabelle22">
    <tabColor theme="9" tint="0.39997558519241921"/>
    <pageSetUpPr autoPageBreaks="0"/>
  </sheetPr>
  <dimension ref="A1:AB51"/>
  <sheetViews>
    <sheetView showGridLines="0" showRowColHeaders="0" zoomScaleNormal="100" workbookViewId="0">
      <pane ySplit="3" topLeftCell="A4" activePane="bottomLeft" state="frozen"/>
      <selection activeCell="F4" sqref="F4:F46"/>
      <selection pane="bottomLeft" activeCell="A4" sqref="A4"/>
    </sheetView>
  </sheetViews>
  <sheetFormatPr baseColWidth="10" defaultColWidth="9.77734375" defaultRowHeight="12.75"/>
  <cols>
    <col min="1" max="1" width="0.77734375" style="12" customWidth="1"/>
    <col min="2" max="2" width="7.6640625" style="30" customWidth="1"/>
    <col min="3" max="3" width="21.6640625" style="24" customWidth="1"/>
    <col min="4" max="4" width="7.6640625" style="24" customWidth="1"/>
    <col min="5" max="5" width="6.6640625" style="25" customWidth="1"/>
    <col min="6" max="6" width="9.6640625" style="26" customWidth="1"/>
    <col min="7" max="7" width="9.6640625" style="27" customWidth="1"/>
    <col min="8" max="8" width="2.6640625" style="28" customWidth="1"/>
    <col min="9" max="9" width="6.6640625" style="29" customWidth="1"/>
    <col min="10" max="10" width="9.6640625" style="27" customWidth="1"/>
    <col min="11" max="11" width="2.5546875" style="27" hidden="1" customWidth="1"/>
    <col min="12" max="12" width="1.5546875" style="32" hidden="1" customWidth="1"/>
    <col min="13" max="13" width="0.77734375" style="13" customWidth="1"/>
    <col min="14" max="14" width="1.77734375" style="147" customWidth="1"/>
    <col min="15" max="26" width="8.77734375" style="13" customWidth="1"/>
    <col min="27" max="27" width="10.33203125" style="13" customWidth="1"/>
    <col min="28" max="28" width="8.33203125" style="13" customWidth="1"/>
    <col min="29" max="16384" width="9.77734375" style="13"/>
  </cols>
  <sheetData>
    <row r="1" spans="1:28" s="37" customFormat="1" ht="3" customHeight="1" thickBot="1">
      <c r="A1" s="36"/>
      <c r="B1" s="53" t="str">
        <f>+B48</f>
        <v>ü</v>
      </c>
      <c r="C1" s="54">
        <f>+C49</f>
        <v>0</v>
      </c>
      <c r="D1" s="54"/>
      <c r="E1" s="53">
        <f>+E49</f>
        <v>0</v>
      </c>
      <c r="F1" s="53"/>
      <c r="G1" s="54">
        <f>+G49</f>
        <v>0</v>
      </c>
      <c r="H1" s="53"/>
      <c r="I1" s="338" t="str">
        <f>+EÜR!J66</f>
        <v>-</v>
      </c>
      <c r="J1" s="54">
        <f>+J48</f>
        <v>0</v>
      </c>
      <c r="K1" s="198"/>
      <c r="L1" s="56"/>
      <c r="N1" s="190"/>
    </row>
    <row r="2" spans="1:28" ht="23.1" customHeight="1" thickTop="1" thickBot="1">
      <c r="A2" s="36"/>
      <c r="B2" s="296" t="str">
        <f>+EÜR!D35</f>
        <v>A14</v>
      </c>
      <c r="C2" s="1290" t="str">
        <f>+EÜR!F35</f>
        <v>Beiträge, Gebühren, Versicherungen (ohne Kfz)</v>
      </c>
      <c r="D2" s="1291"/>
      <c r="E2" s="1291"/>
      <c r="F2" s="1291"/>
      <c r="G2" s="1291"/>
      <c r="H2" s="1291"/>
      <c r="I2" s="1292"/>
      <c r="J2" s="1227" t="s">
        <v>8</v>
      </c>
      <c r="K2" s="1228"/>
      <c r="L2" s="1229"/>
      <c r="M2" s="134"/>
      <c r="N2" s="190">
        <f>IF(OR(B48="x",N3=1),0,1)</f>
        <v>1</v>
      </c>
      <c r="O2" s="188">
        <f>+EOMONTH(EÜR!$I$3,-1)+1</f>
        <v>46023</v>
      </c>
      <c r="P2" s="188">
        <f t="shared" ref="P2:Z2" si="0">+O3+1</f>
        <v>46054</v>
      </c>
      <c r="Q2" s="188">
        <f t="shared" si="0"/>
        <v>46082</v>
      </c>
      <c r="R2" s="188">
        <f t="shared" si="0"/>
        <v>46113</v>
      </c>
      <c r="S2" s="188">
        <f t="shared" si="0"/>
        <v>46143</v>
      </c>
      <c r="T2" s="188">
        <f t="shared" si="0"/>
        <v>46174</v>
      </c>
      <c r="U2" s="188">
        <f t="shared" si="0"/>
        <v>46204</v>
      </c>
      <c r="V2" s="188">
        <f t="shared" si="0"/>
        <v>46235</v>
      </c>
      <c r="W2" s="188">
        <f t="shared" si="0"/>
        <v>46266</v>
      </c>
      <c r="X2" s="188">
        <f t="shared" si="0"/>
        <v>46296</v>
      </c>
      <c r="Y2" s="188">
        <f t="shared" si="0"/>
        <v>46327</v>
      </c>
      <c r="Z2" s="188">
        <f t="shared" si="0"/>
        <v>46357</v>
      </c>
      <c r="AA2" s="48"/>
    </row>
    <row r="3" spans="1:28" ht="14.25" customHeight="1" thickTop="1">
      <c r="A3" s="36" t="s">
        <v>5</v>
      </c>
      <c r="B3" s="58" t="s">
        <v>1</v>
      </c>
      <c r="C3" s="59" t="s">
        <v>6</v>
      </c>
      <c r="D3" s="60"/>
      <c r="E3" s="310" t="s">
        <v>7</v>
      </c>
      <c r="F3" s="61" t="s">
        <v>4</v>
      </c>
      <c r="G3" s="62" t="s">
        <v>31</v>
      </c>
      <c r="H3" s="63" t="s">
        <v>33</v>
      </c>
      <c r="I3" s="64" t="s">
        <v>32</v>
      </c>
      <c r="J3" s="275" t="s">
        <v>34</v>
      </c>
      <c r="K3" s="199">
        <v>0</v>
      </c>
      <c r="L3" s="65" t="s">
        <v>5</v>
      </c>
      <c r="M3" s="135" t="s">
        <v>5</v>
      </c>
      <c r="N3" s="222">
        <f>IF(SUBTOTAL(109,K3:K47)&lt;&gt;SUM(K3:K47),1,0)</f>
        <v>0</v>
      </c>
      <c r="O3" s="189">
        <f>EOMONTH(O2,0)</f>
        <v>46053</v>
      </c>
      <c r="P3" s="189">
        <f t="shared" ref="P3:Z3" si="1">EOMONTH(P2,0)</f>
        <v>46081</v>
      </c>
      <c r="Q3" s="189">
        <f t="shared" si="1"/>
        <v>46112</v>
      </c>
      <c r="R3" s="189">
        <f t="shared" si="1"/>
        <v>46142</v>
      </c>
      <c r="S3" s="189">
        <f t="shared" si="1"/>
        <v>46173</v>
      </c>
      <c r="T3" s="189">
        <f t="shared" si="1"/>
        <v>46203</v>
      </c>
      <c r="U3" s="189">
        <f t="shared" si="1"/>
        <v>46234</v>
      </c>
      <c r="V3" s="189">
        <f t="shared" si="1"/>
        <v>46265</v>
      </c>
      <c r="W3" s="189">
        <f t="shared" si="1"/>
        <v>46295</v>
      </c>
      <c r="X3" s="189">
        <f t="shared" si="1"/>
        <v>46326</v>
      </c>
      <c r="Y3" s="189">
        <f t="shared" si="1"/>
        <v>46356</v>
      </c>
      <c r="Z3" s="189">
        <f t="shared" si="1"/>
        <v>46387</v>
      </c>
      <c r="AB3" s="14"/>
    </row>
    <row r="4" spans="1:28" ht="13.35" customHeight="1">
      <c r="A4" s="50" t="s">
        <v>5</v>
      </c>
      <c r="B4" s="141"/>
      <c r="C4" s="80"/>
      <c r="D4" s="93"/>
      <c r="E4" s="226"/>
      <c r="F4" s="89"/>
      <c r="G4" s="81"/>
      <c r="H4" s="82"/>
      <c r="I4" s="83" t="str">
        <f t="shared" ref="I4:I44" si="2">IF(G4&lt;&gt;"",+G4-G4/(1+H4/100),"")</f>
        <v/>
      </c>
      <c r="J4" s="361" t="str">
        <f t="shared" ref="J4:J44" si="3">IF(G4&lt;&gt;0,+G4-I4,"")</f>
        <v/>
      </c>
      <c r="K4" s="200">
        <v>1</v>
      </c>
      <c r="L4" s="133">
        <f>IF(B4&lt;$O$2,0,IF(B4&lt;$P$2,1,IF(B4&lt;$Q$2,2,IF(B4&lt;$R$2,3,IF(B4&lt;$S$2,4,IF(B4&lt;$T$2,5,IF(B4&lt;$U$2,6,IF(B4&lt;$V$2,7,IF(B4&lt;$W$2,8,IF(B4&lt;$X$2,9,IF(B4&lt;$Y$2,10,IF(B4&lt;$Z$2,11,IF(B4&lt;=$Z$3,12,0)))))))))))))</f>
        <v>0</v>
      </c>
      <c r="M4" s="135" t="s">
        <v>5</v>
      </c>
      <c r="N4" s="190">
        <f>+N10+AA12+AA16</f>
        <v>0</v>
      </c>
      <c r="O4" s="251" t="s">
        <v>36</v>
      </c>
      <c r="P4" s="251" t="s">
        <v>37</v>
      </c>
      <c r="Q4" s="251" t="s">
        <v>38</v>
      </c>
      <c r="R4" s="251" t="s">
        <v>39</v>
      </c>
      <c r="S4" s="251" t="s">
        <v>40</v>
      </c>
      <c r="T4" s="251" t="s">
        <v>41</v>
      </c>
      <c r="U4" s="251" t="s">
        <v>42</v>
      </c>
      <c r="V4" s="251" t="s">
        <v>43</v>
      </c>
      <c r="W4" s="251" t="s">
        <v>44</v>
      </c>
      <c r="X4" s="251" t="s">
        <v>45</v>
      </c>
      <c r="Y4" s="251" t="s">
        <v>46</v>
      </c>
      <c r="Z4" s="251" t="s">
        <v>47</v>
      </c>
      <c r="AA4" s="1209" t="s">
        <v>255</v>
      </c>
      <c r="AB4" s="1210"/>
    </row>
    <row r="5" spans="1:28" ht="13.35" customHeight="1">
      <c r="A5" s="50" t="s">
        <v>5</v>
      </c>
      <c r="B5" s="141"/>
      <c r="C5" s="80"/>
      <c r="D5" s="93"/>
      <c r="E5" s="226"/>
      <c r="F5" s="89"/>
      <c r="G5" s="81"/>
      <c r="H5" s="82"/>
      <c r="I5" s="83" t="str">
        <f t="shared" si="2"/>
        <v/>
      </c>
      <c r="J5" s="361" t="str">
        <f t="shared" si="3"/>
        <v/>
      </c>
      <c r="K5" s="200">
        <v>2</v>
      </c>
      <c r="L5" s="133">
        <f t="shared" ref="L5:L44" si="4">IF(B5&lt;$O$2,0,IF(B5&lt;$P$2,1,IF(B5&lt;$Q$2,2,IF(B5&lt;$R$2,3,IF(B5&lt;$S$2,4,IF(B5&lt;$T$2,5,IF(B5&lt;$U$2,6,IF(B5&lt;$V$2,7,IF(B5&lt;$W$2,8,IF(B5&lt;$X$2,9,IF(B5&lt;$Y$2,10,IF(B5&lt;$Z$2,11,IF(B5&lt;=$Z$3,12,0)))))))))))))</f>
        <v>0</v>
      </c>
      <c r="M5" s="135" t="s">
        <v>5</v>
      </c>
      <c r="O5" s="252">
        <f>SUMIFS($G$3:$G$47,$L$3:$L$47,1,$F$3:$F$47,"Konto")</f>
        <v>0</v>
      </c>
      <c r="P5" s="252">
        <f>SUMIFS($G$3:$G$47,$L$3:$L$47,2,$F$3:$F$47,"Konto")</f>
        <v>0</v>
      </c>
      <c r="Q5" s="252">
        <f>SUMIFS($G$3:$G$47,$L$3:$L$47,3,$F$3:$F$47,"Konto")</f>
        <v>0</v>
      </c>
      <c r="R5" s="252">
        <f>SUMIFS($G$3:$G$47,$L$3:$L$47,4,$F$3:$F$47,"Konto")</f>
        <v>0</v>
      </c>
      <c r="S5" s="252">
        <f>SUMIFS($G$3:$G$47,$L$3:$L$47,5,$F$3:$F$47,"Konto")</f>
        <v>0</v>
      </c>
      <c r="T5" s="252">
        <f>SUMIFS($G$3:$G$47,$L$3:$L$47,6,$F$3:$F$47,"Konto")</f>
        <v>0</v>
      </c>
      <c r="U5" s="252">
        <f>SUMIFS($G$3:$G$47,$L$3:$L$47,7,$F$3:$F$47,"Konto")</f>
        <v>0</v>
      </c>
      <c r="V5" s="252">
        <f>SUMIFS($G$3:$G$47,$L$3:$L$47,8,$F$3:$F$47,"Konto")</f>
        <v>0</v>
      </c>
      <c r="W5" s="252">
        <f>SUMIFS($G$3:$G$47,$L$3:$L$47,9,$F$3:$F$47,"Konto")</f>
        <v>0</v>
      </c>
      <c r="X5" s="252">
        <f>SUMIFS($G$3:$G$47,$L$3:$L$47,10,$F$3:$F$47,"Konto")</f>
        <v>0</v>
      </c>
      <c r="Y5" s="252">
        <f>SUMIFS($G$3:$G$47,$L$3:$L$47,11,$F$3:$F$47,"Konto")</f>
        <v>0</v>
      </c>
      <c r="Z5" s="252">
        <f>SUMIFS($G$3:$G$47,$L$3:$L$47,12,$F$3:$F$47,"Konto")</f>
        <v>0</v>
      </c>
      <c r="AA5" s="253">
        <f>SUM(O5:Z5)</f>
        <v>0</v>
      </c>
      <c r="AB5" s="254" t="s">
        <v>140</v>
      </c>
    </row>
    <row r="6" spans="1:28" ht="13.35" customHeight="1">
      <c r="A6" s="50" t="s">
        <v>5</v>
      </c>
      <c r="B6" s="141"/>
      <c r="C6" s="80"/>
      <c r="D6" s="93"/>
      <c r="E6" s="226"/>
      <c r="F6" s="89"/>
      <c r="G6" s="81"/>
      <c r="H6" s="82"/>
      <c r="I6" s="83" t="str">
        <f t="shared" si="2"/>
        <v/>
      </c>
      <c r="J6" s="361" t="str">
        <f t="shared" si="3"/>
        <v/>
      </c>
      <c r="K6" s="200">
        <v>3</v>
      </c>
      <c r="L6" s="133">
        <f t="shared" si="4"/>
        <v>0</v>
      </c>
      <c r="M6" s="135" t="s">
        <v>5</v>
      </c>
      <c r="N6" s="190"/>
      <c r="O6" s="252">
        <f>SUMIFS($G$3:$G$47,$L$3:$L$47,1,$F$3:$F$47,"Kreditkarte")</f>
        <v>0</v>
      </c>
      <c r="P6" s="252">
        <f>SUMIFS($G$3:$G$47,$L$3:$L$47,2,$F$3:$F$47,"Kreditkarte")</f>
        <v>0</v>
      </c>
      <c r="Q6" s="252">
        <f>SUMIFS($G$3:$G$47,$L$3:$L$47,3,$F$3:$F$47,"Kreditkarte")</f>
        <v>0</v>
      </c>
      <c r="R6" s="252">
        <f>SUMIFS($G$3:$G$47,$L$3:$L$47,4,$F$3:$F$47,"Kreditkarte")</f>
        <v>0</v>
      </c>
      <c r="S6" s="252">
        <f>SUMIFS($G$3:$G$47,$L$3:$L$47,5,$F$3:$F$47,"Kreditkarte")</f>
        <v>0</v>
      </c>
      <c r="T6" s="252">
        <f>SUMIFS($G$3:$G$47,$L$3:$L$47,6,$F$3:$F$47,"Kreditkarte")</f>
        <v>0</v>
      </c>
      <c r="U6" s="252">
        <f>SUMIFS($G$3:$G$47,$L$3:$L$47,7,$F$3:$F$47,"Kreditkarte")</f>
        <v>0</v>
      </c>
      <c r="V6" s="252">
        <f>SUMIFS($G$3:$G$47,$L$3:$L$47,8,$F$3:$F$47,"Kreditkarte")</f>
        <v>0</v>
      </c>
      <c r="W6" s="252">
        <f>SUMIFS($G$3:$G$47,$L$3:$L$47,9,$F$3:$F$47,"Kreditkarte")</f>
        <v>0</v>
      </c>
      <c r="X6" s="252">
        <f>SUMIFS($G$3:$G$47,$L$3:$L$47,10,$F$3:$F$47,"Kreditkarte")</f>
        <v>0</v>
      </c>
      <c r="Y6" s="252">
        <f>SUMIFS($G$3:$G$47,$L$3:$L$47,11,$F$3:$F$47,"Kreditkarte")</f>
        <v>0</v>
      </c>
      <c r="Z6" s="252">
        <f>SUMIFS($G$3:$G$47,$L$3:$L$47,12,$F$3:$F$47,"Kreditkarte")</f>
        <v>0</v>
      </c>
      <c r="AA6" s="255">
        <f t="shared" ref="AA6:AA8" si="5">SUM(O6:Z6)</f>
        <v>0</v>
      </c>
      <c r="AB6" s="256" t="s">
        <v>142</v>
      </c>
    </row>
    <row r="7" spans="1:28" ht="13.35" customHeight="1">
      <c r="A7" s="50" t="s">
        <v>5</v>
      </c>
      <c r="B7" s="141"/>
      <c r="C7" s="80"/>
      <c r="D7" s="93"/>
      <c r="E7" s="226"/>
      <c r="F7" s="89"/>
      <c r="G7" s="81"/>
      <c r="H7" s="82"/>
      <c r="I7" s="83" t="str">
        <f t="shared" si="2"/>
        <v/>
      </c>
      <c r="J7" s="361" t="str">
        <f t="shared" si="3"/>
        <v/>
      </c>
      <c r="K7" s="200">
        <v>4</v>
      </c>
      <c r="L7" s="133">
        <f t="shared" si="4"/>
        <v>0</v>
      </c>
      <c r="M7" s="135" t="s">
        <v>5</v>
      </c>
      <c r="O7" s="252">
        <f>SUMIFS($G$3:$G$47,$L$3:$L$47,1,$F$3:$F$47,"Geldbeutel")</f>
        <v>0</v>
      </c>
      <c r="P7" s="252">
        <f>SUMIFS($G$3:$G$47,$L$3:$L$47,2,$F$3:$F$47,"Geldbeutel")</f>
        <v>0</v>
      </c>
      <c r="Q7" s="252">
        <f>SUMIFS($G$3:$G$47,$L$3:$L$47,3,$F$3:$F$47,"Geldbeutel")</f>
        <v>0</v>
      </c>
      <c r="R7" s="252">
        <f>SUMIFS($G$3:$G$47,$L$3:$L$47,4,$F$3:$F$47,"Geldbeutel")</f>
        <v>0</v>
      </c>
      <c r="S7" s="252">
        <f>SUMIFS($G$3:$G$47,$L$3:$L$47,5,$F$3:$F$47,"Geldbeutel")</f>
        <v>0</v>
      </c>
      <c r="T7" s="252">
        <f>SUMIFS($G$3:$G$47,$L$3:$L$47,6,$F$3:$F$47,"Geldbeutel")</f>
        <v>0</v>
      </c>
      <c r="U7" s="252">
        <f>SUMIFS($G$3:$G$47,$L$3:$L$47,7,$F$3:$F$47,"Geldbeutel")</f>
        <v>0</v>
      </c>
      <c r="V7" s="252">
        <f>SUMIFS($G$3:$G$47,$L$3:$L$47,8,$F$3:$F$47,"Geldbeutel")</f>
        <v>0</v>
      </c>
      <c r="W7" s="252">
        <f>SUMIFS($G$3:$G$47,$L$3:$L$47,9,$F$3:$F$47,"Geldbeutel")</f>
        <v>0</v>
      </c>
      <c r="X7" s="252">
        <f>SUMIFS($G$3:$G$47,$L$3:$L$47,10,$F$3:$F$47,"Geldbeutel")</f>
        <v>0</v>
      </c>
      <c r="Y7" s="252">
        <f>SUMIFS($G$3:$G$47,$L$3:$L$47,11,$F$3:$F$47,"Geldbeutel")</f>
        <v>0</v>
      </c>
      <c r="Z7" s="252">
        <f>SUMIFS($G$3:$G$47,$L$3:$L$47,12,$F$3:$F$47,"Geldbeutel")</f>
        <v>0</v>
      </c>
      <c r="AA7" s="253">
        <f t="shared" si="5"/>
        <v>0</v>
      </c>
      <c r="AB7" s="254" t="s">
        <v>139</v>
      </c>
    </row>
    <row r="8" spans="1:28" ht="13.35" customHeight="1">
      <c r="A8" s="50" t="s">
        <v>5</v>
      </c>
      <c r="B8" s="141"/>
      <c r="C8" s="80"/>
      <c r="D8" s="93"/>
      <c r="E8" s="226"/>
      <c r="F8" s="89"/>
      <c r="G8" s="81"/>
      <c r="H8" s="82"/>
      <c r="I8" s="83" t="str">
        <f t="shared" si="2"/>
        <v/>
      </c>
      <c r="J8" s="361" t="str">
        <f t="shared" si="3"/>
        <v/>
      </c>
      <c r="K8" s="200">
        <v>5</v>
      </c>
      <c r="L8" s="133">
        <f t="shared" si="4"/>
        <v>0</v>
      </c>
      <c r="M8" s="135" t="s">
        <v>5</v>
      </c>
      <c r="O8" s="252">
        <f>SUMIFS($G$3:$G$47,$L$3:$L$47,1,$F$3:$F$47,"X")</f>
        <v>0</v>
      </c>
      <c r="P8" s="252">
        <f>SUMIFS($G$3:$G$47,$L$3:$L$47,2,$F$3:$F$47,"X")</f>
        <v>0</v>
      </c>
      <c r="Q8" s="252">
        <f>SUMIFS($G$3:$G$47,$L$3:$L$47,3,$F$3:$F$47,"X")</f>
        <v>0</v>
      </c>
      <c r="R8" s="252">
        <f>SUMIFS($G$3:$G$47,$L$3:$L$47,4,$F$3:$F$47,"X")</f>
        <v>0</v>
      </c>
      <c r="S8" s="252">
        <f>SUMIFS($G$3:$G$47,$L$3:$L$47,5,$F$3:$F$47,"X")</f>
        <v>0</v>
      </c>
      <c r="T8" s="252">
        <f>SUMIFS($G$3:$G$47,$L$3:$L$47,6,$F$3:$F$47,"X")</f>
        <v>0</v>
      </c>
      <c r="U8" s="252">
        <f>SUMIFS($G$3:$G$47,$L$3:$L$47,7,$F$3:$F$47,"X")</f>
        <v>0</v>
      </c>
      <c r="V8" s="252">
        <f>SUMIFS($G$3:$G$47,$L$3:$L$47,8,$F$3:$F$47,"X")</f>
        <v>0</v>
      </c>
      <c r="W8" s="252">
        <f>SUMIFS($G$3:$G$47,$L$3:$L$47,9,$F$3:$F$47,"X")</f>
        <v>0</v>
      </c>
      <c r="X8" s="252">
        <f>SUMIFS($G$3:$G$47,$L$3:$L$47,10,$F$3:$F$47,"X")</f>
        <v>0</v>
      </c>
      <c r="Y8" s="252">
        <f>SUMIFS($G$3:$G$47,$L$3:$L$47,11,$F$3:$F$47,"X")</f>
        <v>0</v>
      </c>
      <c r="Z8" s="252">
        <f>SUMIFS($G$3:$G$47,$L$3:$L$47,12,$F$3:$F$47,"X")</f>
        <v>0</v>
      </c>
      <c r="AA8" s="255">
        <f t="shared" si="5"/>
        <v>0</v>
      </c>
      <c r="AB8" s="256" t="s">
        <v>192</v>
      </c>
    </row>
    <row r="9" spans="1:28" ht="13.35" customHeight="1">
      <c r="A9" s="50" t="s">
        <v>5</v>
      </c>
      <c r="B9" s="141"/>
      <c r="C9" s="80"/>
      <c r="D9" s="93"/>
      <c r="E9" s="226"/>
      <c r="F9" s="89"/>
      <c r="G9" s="81"/>
      <c r="H9" s="82"/>
      <c r="I9" s="83" t="str">
        <f t="shared" si="2"/>
        <v/>
      </c>
      <c r="J9" s="361" t="str">
        <f t="shared" si="3"/>
        <v/>
      </c>
      <c r="K9" s="200">
        <v>6</v>
      </c>
      <c r="L9" s="133">
        <f t="shared" si="4"/>
        <v>0</v>
      </c>
      <c r="M9" s="135" t="s">
        <v>5</v>
      </c>
      <c r="N9" s="191">
        <f>IF(OR(AND(AA14&lt;&gt;0,B48="x"),(O14+AA13)&lt;&gt;H48),1,0)</f>
        <v>0</v>
      </c>
      <c r="O9" s="257">
        <f>SUM(O5:O8)</f>
        <v>0</v>
      </c>
      <c r="P9" s="257">
        <f t="shared" ref="P9:Z9" si="6">SUM(P5:P8)</f>
        <v>0</v>
      </c>
      <c r="Q9" s="257">
        <f t="shared" si="6"/>
        <v>0</v>
      </c>
      <c r="R9" s="257">
        <f t="shared" si="6"/>
        <v>0</v>
      </c>
      <c r="S9" s="257">
        <f t="shared" si="6"/>
        <v>0</v>
      </c>
      <c r="T9" s="257">
        <f t="shared" si="6"/>
        <v>0</v>
      </c>
      <c r="U9" s="257">
        <f t="shared" si="6"/>
        <v>0</v>
      </c>
      <c r="V9" s="257">
        <f t="shared" si="6"/>
        <v>0</v>
      </c>
      <c r="W9" s="257">
        <f t="shared" si="6"/>
        <v>0</v>
      </c>
      <c r="X9" s="257">
        <f t="shared" si="6"/>
        <v>0</v>
      </c>
      <c r="Y9" s="257">
        <f t="shared" si="6"/>
        <v>0</v>
      </c>
      <c r="Z9" s="257">
        <f t="shared" si="6"/>
        <v>0</v>
      </c>
      <c r="AA9" s="1211" t="s">
        <v>197</v>
      </c>
      <c r="AB9" s="1212"/>
    </row>
    <row r="10" spans="1:28" ht="13.35" customHeight="1">
      <c r="A10" s="50" t="s">
        <v>5</v>
      </c>
      <c r="B10" s="141"/>
      <c r="C10" s="80"/>
      <c r="D10" s="93"/>
      <c r="E10" s="226"/>
      <c r="F10" s="89"/>
      <c r="G10" s="81"/>
      <c r="H10" s="82"/>
      <c r="I10" s="83" t="str">
        <f t="shared" si="2"/>
        <v/>
      </c>
      <c r="J10" s="361" t="str">
        <f t="shared" si="3"/>
        <v/>
      </c>
      <c r="K10" s="200">
        <v>7</v>
      </c>
      <c r="L10" s="133">
        <f t="shared" si="4"/>
        <v>0</v>
      </c>
      <c r="M10" s="135" t="s">
        <v>5</v>
      </c>
      <c r="N10" s="259">
        <f>IF(O10+AA10&lt;&gt;G48,1,0)</f>
        <v>0</v>
      </c>
      <c r="O10" s="1230">
        <f>SUM(O5:Z8)</f>
        <v>0</v>
      </c>
      <c r="P10" s="1231"/>
      <c r="Q10" s="1231"/>
      <c r="R10" s="1231"/>
      <c r="S10" s="1231"/>
      <c r="T10" s="1231"/>
      <c r="U10" s="1231"/>
      <c r="V10" s="1231"/>
      <c r="W10" s="1231"/>
      <c r="X10" s="1231"/>
      <c r="Y10" s="1231"/>
      <c r="Z10" s="1232"/>
      <c r="AA10" s="292">
        <f>+G48-AA7-AA6-AA5-AA8</f>
        <v>0</v>
      </c>
      <c r="AB10" s="293" t="s">
        <v>205</v>
      </c>
    </row>
    <row r="11" spans="1:28" ht="13.35" customHeight="1">
      <c r="A11" s="50" t="s">
        <v>5</v>
      </c>
      <c r="B11" s="141"/>
      <c r="C11" s="80"/>
      <c r="D11" s="93"/>
      <c r="E11" s="226"/>
      <c r="F11" s="89"/>
      <c r="G11" s="81"/>
      <c r="H11" s="82"/>
      <c r="I11" s="83" t="str">
        <f t="shared" si="2"/>
        <v/>
      </c>
      <c r="J11" s="361" t="str">
        <f t="shared" si="3"/>
        <v/>
      </c>
      <c r="K11" s="200">
        <v>8</v>
      </c>
      <c r="L11" s="133">
        <f t="shared" si="4"/>
        <v>0</v>
      </c>
      <c r="M11" s="135" t="s">
        <v>5</v>
      </c>
      <c r="O11" s="1219" t="str">
        <f>IF(N4&gt;0,"Fehler!","")</f>
        <v/>
      </c>
      <c r="P11" s="1219"/>
      <c r="Q11" s="1219"/>
      <c r="R11" s="1219"/>
      <c r="S11" s="1219"/>
      <c r="T11" s="1219"/>
      <c r="U11" s="1219"/>
      <c r="V11" s="1219"/>
      <c r="W11" s="1219"/>
      <c r="X11" s="1219"/>
      <c r="Y11" s="1219"/>
      <c r="Z11" s="1219"/>
    </row>
    <row r="12" spans="1:28" ht="13.35" customHeight="1">
      <c r="A12" s="50" t="s">
        <v>5</v>
      </c>
      <c r="B12" s="141"/>
      <c r="C12" s="80"/>
      <c r="D12" s="93"/>
      <c r="E12" s="226"/>
      <c r="F12" s="89"/>
      <c r="G12" s="81"/>
      <c r="H12" s="82"/>
      <c r="I12" s="83" t="str">
        <f t="shared" si="2"/>
        <v/>
      </c>
      <c r="J12" s="361" t="str">
        <f t="shared" si="3"/>
        <v/>
      </c>
      <c r="K12" s="200">
        <v>9</v>
      </c>
      <c r="L12" s="133">
        <f t="shared" si="4"/>
        <v>0</v>
      </c>
      <c r="M12" s="135" t="s">
        <v>5</v>
      </c>
      <c r="O12" s="203" t="s">
        <v>36</v>
      </c>
      <c r="P12" s="203" t="s">
        <v>37</v>
      </c>
      <c r="Q12" s="203" t="s">
        <v>38</v>
      </c>
      <c r="R12" s="203" t="s">
        <v>39</v>
      </c>
      <c r="S12" s="203" t="s">
        <v>40</v>
      </c>
      <c r="T12" s="203" t="s">
        <v>41</v>
      </c>
      <c r="U12" s="203" t="s">
        <v>42</v>
      </c>
      <c r="V12" s="203" t="s">
        <v>43</v>
      </c>
      <c r="W12" s="203" t="s">
        <v>44</v>
      </c>
      <c r="X12" s="203" t="s">
        <v>45</v>
      </c>
      <c r="Y12" s="203" t="s">
        <v>46</v>
      </c>
      <c r="Z12" s="203" t="s">
        <v>47</v>
      </c>
      <c r="AA12" s="221">
        <f>IF(O14+AA13&lt;&gt;H48,1,0)</f>
        <v>0</v>
      </c>
    </row>
    <row r="13" spans="1:28" ht="13.35" customHeight="1">
      <c r="A13" s="50" t="s">
        <v>5</v>
      </c>
      <c r="B13" s="141"/>
      <c r="C13" s="80"/>
      <c r="D13" s="93"/>
      <c r="E13" s="226"/>
      <c r="F13" s="89"/>
      <c r="G13" s="81"/>
      <c r="H13" s="82"/>
      <c r="I13" s="83" t="str">
        <f t="shared" si="2"/>
        <v/>
      </c>
      <c r="J13" s="361" t="str">
        <f t="shared" si="3"/>
        <v/>
      </c>
      <c r="K13" s="200">
        <v>10</v>
      </c>
      <c r="L13" s="133">
        <f t="shared" si="4"/>
        <v>0</v>
      </c>
      <c r="M13" s="135" t="s">
        <v>5</v>
      </c>
      <c r="O13" s="187">
        <f>SUMIF($L$3:$L$47,1,$I$3:$I$47)</f>
        <v>0</v>
      </c>
      <c r="P13" s="187">
        <f>SUMIF($L$3:$L$47,2,$I$3:$I$47)</f>
        <v>0</v>
      </c>
      <c r="Q13" s="187">
        <f>SUMIF($L$3:$L$47,3,$I$3:$I$47)</f>
        <v>0</v>
      </c>
      <c r="R13" s="187">
        <f>SUMIF($L$3:$L$47,4,$I$3:$I$47)</f>
        <v>0</v>
      </c>
      <c r="S13" s="187">
        <f>SUMIF($L$3:$L$47,5,$I$3:$I$47)</f>
        <v>0</v>
      </c>
      <c r="T13" s="187">
        <f>SUMIF($L$3:$L$47,6,$I$3:$I$47)</f>
        <v>0</v>
      </c>
      <c r="U13" s="187">
        <f>SUMIF($L$3:$L$47,7,$I$3:$I$47)</f>
        <v>0</v>
      </c>
      <c r="V13" s="187">
        <f>SUMIF($L$3:$L$47,8,$I$3:$I$47)</f>
        <v>0</v>
      </c>
      <c r="W13" s="187">
        <f>SUMIF($L$3:$L$47,9,$I$3:$I$47)</f>
        <v>0</v>
      </c>
      <c r="X13" s="187">
        <f>SUMIF($L$3:$L$47,10,$I$3:$I$47)</f>
        <v>0</v>
      </c>
      <c r="Y13" s="187">
        <f>SUMIF($L$3:$L$47,11,$I$3:$I$47)</f>
        <v>0</v>
      </c>
      <c r="Z13" s="187">
        <f>SUMIF($L$3:$L$47,12,$I$3:$I$47)</f>
        <v>0</v>
      </c>
      <c r="AA13" s="1220">
        <f>SUMIF($L$3:$L$47,0,$I$3:$I$47)</f>
        <v>0</v>
      </c>
      <c r="AB13" s="1221"/>
    </row>
    <row r="14" spans="1:28" ht="13.35" customHeight="1">
      <c r="A14" s="50" t="s">
        <v>5</v>
      </c>
      <c r="B14" s="141"/>
      <c r="C14" s="80"/>
      <c r="D14" s="93"/>
      <c r="E14" s="226"/>
      <c r="F14" s="89"/>
      <c r="G14" s="81"/>
      <c r="H14" s="82"/>
      <c r="I14" s="83" t="str">
        <f t="shared" si="2"/>
        <v/>
      </c>
      <c r="J14" s="361" t="str">
        <f t="shared" si="3"/>
        <v/>
      </c>
      <c r="K14" s="200">
        <v>11</v>
      </c>
      <c r="L14" s="133">
        <f t="shared" si="4"/>
        <v>0</v>
      </c>
      <c r="M14" s="135" t="s">
        <v>5</v>
      </c>
      <c r="O14" s="1299">
        <f>SUM(O13:Z13)</f>
        <v>0</v>
      </c>
      <c r="P14" s="1300"/>
      <c r="Q14" s="1300"/>
      <c r="R14" s="1300"/>
      <c r="S14" s="1300"/>
      <c r="T14" s="1300"/>
      <c r="U14" s="1300"/>
      <c r="V14" s="1300"/>
      <c r="W14" s="1300"/>
      <c r="X14" s="1300"/>
      <c r="Y14" s="1300"/>
      <c r="Z14" s="1301"/>
      <c r="AA14" s="1222">
        <f>SUM(O13:Z13)+AA13</f>
        <v>0</v>
      </c>
      <c r="AB14" s="1223"/>
    </row>
    <row r="15" spans="1:28" ht="13.35" customHeight="1">
      <c r="A15" s="50" t="s">
        <v>5</v>
      </c>
      <c r="B15" s="141"/>
      <c r="C15" s="80"/>
      <c r="D15" s="93"/>
      <c r="E15" s="226"/>
      <c r="F15" s="89"/>
      <c r="G15" s="81"/>
      <c r="H15" s="82"/>
      <c r="I15" s="83" t="str">
        <f t="shared" si="2"/>
        <v/>
      </c>
      <c r="J15" s="361" t="str">
        <f t="shared" si="3"/>
        <v/>
      </c>
      <c r="K15" s="200">
        <v>12</v>
      </c>
      <c r="L15" s="133">
        <f t="shared" si="4"/>
        <v>0</v>
      </c>
      <c r="M15" s="135" t="s">
        <v>5</v>
      </c>
      <c r="O15" s="244"/>
      <c r="P15" s="244"/>
      <c r="Q15" s="244"/>
      <c r="R15" s="244"/>
      <c r="S15" s="244"/>
      <c r="T15" s="244"/>
      <c r="U15" s="244"/>
      <c r="V15" s="244"/>
      <c r="W15" s="244"/>
      <c r="X15" s="244"/>
      <c r="Y15" s="244"/>
      <c r="Z15" s="244"/>
      <c r="AA15" s="244"/>
      <c r="AB15" s="244"/>
    </row>
    <row r="16" spans="1:28" ht="13.35" customHeight="1">
      <c r="A16" s="50" t="s">
        <v>5</v>
      </c>
      <c r="B16" s="141"/>
      <c r="C16" s="80"/>
      <c r="D16" s="93"/>
      <c r="E16" s="226"/>
      <c r="F16" s="89"/>
      <c r="G16" s="81"/>
      <c r="H16" s="82"/>
      <c r="I16" s="83" t="str">
        <f t="shared" si="2"/>
        <v/>
      </c>
      <c r="J16" s="361" t="str">
        <f t="shared" si="3"/>
        <v/>
      </c>
      <c r="K16" s="200">
        <v>13</v>
      </c>
      <c r="L16" s="133">
        <f t="shared" si="4"/>
        <v>0</v>
      </c>
      <c r="M16" s="135" t="s">
        <v>5</v>
      </c>
      <c r="O16" s="244"/>
      <c r="P16" s="244"/>
      <c r="Q16" s="244"/>
      <c r="R16" s="244"/>
      <c r="S16" s="244"/>
      <c r="T16" s="244"/>
      <c r="U16" s="244"/>
      <c r="V16" s="244"/>
      <c r="W16" s="244"/>
      <c r="X16" s="244"/>
      <c r="Y16" s="244"/>
      <c r="Z16" s="244"/>
      <c r="AA16" s="244"/>
      <c r="AB16" s="244"/>
    </row>
    <row r="17" spans="1:28" ht="13.35" customHeight="1">
      <c r="A17" s="50" t="s">
        <v>5</v>
      </c>
      <c r="B17" s="141"/>
      <c r="C17" s="80"/>
      <c r="D17" s="93"/>
      <c r="E17" s="226"/>
      <c r="F17" s="89"/>
      <c r="G17" s="81"/>
      <c r="H17" s="82"/>
      <c r="I17" s="83" t="str">
        <f t="shared" si="2"/>
        <v/>
      </c>
      <c r="J17" s="361" t="str">
        <f t="shared" si="3"/>
        <v/>
      </c>
      <c r="K17" s="200">
        <v>14</v>
      </c>
      <c r="L17" s="133">
        <f t="shared" si="4"/>
        <v>0</v>
      </c>
      <c r="M17" s="135" t="s">
        <v>5</v>
      </c>
      <c r="O17" s="244"/>
      <c r="P17" s="244"/>
      <c r="Q17" s="244"/>
      <c r="R17" s="244"/>
      <c r="S17" s="244"/>
      <c r="T17" s="244"/>
      <c r="U17" s="244"/>
      <c r="V17" s="244"/>
      <c r="W17" s="244"/>
      <c r="X17" s="244"/>
      <c r="Y17" s="244"/>
      <c r="Z17" s="244"/>
      <c r="AA17" s="244"/>
      <c r="AB17" s="244"/>
    </row>
    <row r="18" spans="1:28" ht="13.35" customHeight="1">
      <c r="A18" s="50" t="s">
        <v>5</v>
      </c>
      <c r="B18" s="141"/>
      <c r="C18" s="80"/>
      <c r="D18" s="93"/>
      <c r="E18" s="226"/>
      <c r="F18" s="89"/>
      <c r="G18" s="81"/>
      <c r="H18" s="82"/>
      <c r="I18" s="83" t="str">
        <f t="shared" si="2"/>
        <v/>
      </c>
      <c r="J18" s="361" t="str">
        <f t="shared" si="3"/>
        <v/>
      </c>
      <c r="K18" s="200">
        <v>15</v>
      </c>
      <c r="L18" s="133">
        <f t="shared" si="4"/>
        <v>0</v>
      </c>
      <c r="M18" s="135" t="s">
        <v>5</v>
      </c>
      <c r="O18" s="244"/>
      <c r="P18" s="244"/>
      <c r="Q18" s="244"/>
      <c r="R18" s="244"/>
      <c r="S18" s="244"/>
      <c r="T18" s="244"/>
      <c r="U18" s="244"/>
      <c r="V18" s="244"/>
      <c r="W18" s="244"/>
      <c r="X18" s="244"/>
      <c r="Y18" s="244"/>
      <c r="Z18" s="244"/>
      <c r="AA18" s="244"/>
      <c r="AB18" s="244"/>
    </row>
    <row r="19" spans="1:28" ht="13.35" customHeight="1">
      <c r="A19" s="50" t="s">
        <v>5</v>
      </c>
      <c r="B19" s="141"/>
      <c r="C19" s="80"/>
      <c r="D19" s="93"/>
      <c r="E19" s="226"/>
      <c r="F19" s="89"/>
      <c r="G19" s="81"/>
      <c r="H19" s="82"/>
      <c r="I19" s="83" t="str">
        <f t="shared" si="2"/>
        <v/>
      </c>
      <c r="J19" s="361" t="str">
        <f t="shared" si="3"/>
        <v/>
      </c>
      <c r="K19" s="200">
        <v>16</v>
      </c>
      <c r="L19" s="133">
        <f t="shared" si="4"/>
        <v>0</v>
      </c>
      <c r="M19" s="135" t="s">
        <v>5</v>
      </c>
      <c r="O19" s="244"/>
      <c r="P19" s="244"/>
      <c r="Q19" s="244"/>
      <c r="R19" s="244"/>
      <c r="S19" s="244"/>
      <c r="T19" s="244"/>
      <c r="U19" s="244"/>
      <c r="V19" s="244"/>
      <c r="W19" s="244"/>
      <c r="X19" s="244"/>
      <c r="Y19" s="244"/>
      <c r="Z19" s="244"/>
      <c r="AA19" s="244"/>
      <c r="AB19" s="244"/>
    </row>
    <row r="20" spans="1:28" ht="13.35" customHeight="1">
      <c r="A20" s="50" t="s">
        <v>5</v>
      </c>
      <c r="B20" s="141"/>
      <c r="C20" s="80"/>
      <c r="D20" s="93"/>
      <c r="E20" s="226"/>
      <c r="F20" s="89"/>
      <c r="G20" s="81"/>
      <c r="H20" s="82"/>
      <c r="I20" s="83" t="str">
        <f t="shared" si="2"/>
        <v/>
      </c>
      <c r="J20" s="361" t="str">
        <f t="shared" si="3"/>
        <v/>
      </c>
      <c r="K20" s="200">
        <v>17</v>
      </c>
      <c r="L20" s="133">
        <f t="shared" si="4"/>
        <v>0</v>
      </c>
      <c r="M20" s="135" t="s">
        <v>5</v>
      </c>
      <c r="O20" s="244"/>
      <c r="P20" s="244"/>
      <c r="Q20" s="244"/>
      <c r="R20" s="244"/>
      <c r="S20" s="244"/>
      <c r="T20" s="244"/>
      <c r="U20" s="244"/>
      <c r="V20" s="244"/>
      <c r="W20" s="244"/>
      <c r="X20" s="244"/>
      <c r="Y20" s="244"/>
      <c r="Z20" s="244"/>
      <c r="AA20" s="244"/>
      <c r="AB20" s="244"/>
    </row>
    <row r="21" spans="1:28" ht="13.35" customHeight="1">
      <c r="A21" s="50" t="s">
        <v>5</v>
      </c>
      <c r="B21" s="141"/>
      <c r="C21" s="80"/>
      <c r="D21" s="93"/>
      <c r="E21" s="226"/>
      <c r="F21" s="89"/>
      <c r="G21" s="81"/>
      <c r="H21" s="82"/>
      <c r="I21" s="83" t="str">
        <f t="shared" si="2"/>
        <v/>
      </c>
      <c r="J21" s="361" t="str">
        <f t="shared" si="3"/>
        <v/>
      </c>
      <c r="K21" s="200">
        <v>18</v>
      </c>
      <c r="L21" s="133">
        <f t="shared" si="4"/>
        <v>0</v>
      </c>
      <c r="M21" s="135" t="s">
        <v>5</v>
      </c>
      <c r="O21" s="244"/>
      <c r="P21" s="244"/>
      <c r="Q21" s="244"/>
      <c r="R21" s="244"/>
      <c r="S21" s="244"/>
      <c r="T21" s="244"/>
      <c r="U21" s="244"/>
      <c r="V21" s="244"/>
      <c r="W21" s="244"/>
      <c r="X21" s="244"/>
      <c r="Y21" s="244"/>
      <c r="Z21" s="244"/>
      <c r="AA21" s="244"/>
      <c r="AB21" s="244"/>
    </row>
    <row r="22" spans="1:28" ht="13.35" customHeight="1">
      <c r="A22" s="50" t="s">
        <v>5</v>
      </c>
      <c r="B22" s="141"/>
      <c r="C22" s="80"/>
      <c r="D22" s="93"/>
      <c r="E22" s="226"/>
      <c r="F22" s="89"/>
      <c r="G22" s="81"/>
      <c r="H22" s="82"/>
      <c r="I22" s="83" t="str">
        <f t="shared" si="2"/>
        <v/>
      </c>
      <c r="J22" s="361" t="str">
        <f t="shared" si="3"/>
        <v/>
      </c>
      <c r="K22" s="200">
        <v>19</v>
      </c>
      <c r="L22" s="133">
        <f t="shared" si="4"/>
        <v>0</v>
      </c>
      <c r="M22" s="135" t="s">
        <v>5</v>
      </c>
      <c r="O22" s="244"/>
      <c r="P22" s="244"/>
      <c r="Q22" s="244"/>
      <c r="R22" s="244"/>
      <c r="S22" s="244"/>
      <c r="T22" s="244"/>
      <c r="U22" s="244"/>
      <c r="V22" s="244"/>
      <c r="W22" s="244"/>
      <c r="X22" s="244"/>
      <c r="Y22" s="244"/>
      <c r="Z22" s="244"/>
      <c r="AA22" s="244"/>
      <c r="AB22" s="244"/>
    </row>
    <row r="23" spans="1:28" ht="13.35" customHeight="1">
      <c r="A23" s="50" t="s">
        <v>5</v>
      </c>
      <c r="B23" s="141"/>
      <c r="C23" s="80"/>
      <c r="D23" s="94"/>
      <c r="E23" s="226"/>
      <c r="F23" s="89"/>
      <c r="G23" s="81"/>
      <c r="H23" s="82"/>
      <c r="I23" s="83" t="str">
        <f t="shared" si="2"/>
        <v/>
      </c>
      <c r="J23" s="361" t="str">
        <f t="shared" si="3"/>
        <v/>
      </c>
      <c r="K23" s="200">
        <v>20</v>
      </c>
      <c r="L23" s="133">
        <f t="shared" si="4"/>
        <v>0</v>
      </c>
      <c r="M23" s="135" t="s">
        <v>5</v>
      </c>
      <c r="O23" s="244"/>
      <c r="P23" s="244"/>
      <c r="Q23" s="244"/>
      <c r="R23" s="244"/>
      <c r="S23" s="244"/>
      <c r="T23" s="244"/>
      <c r="U23" s="244"/>
      <c r="V23" s="244"/>
      <c r="W23" s="244"/>
      <c r="X23" s="244"/>
      <c r="Y23" s="244"/>
      <c r="Z23" s="244"/>
      <c r="AA23" s="244"/>
      <c r="AB23" s="244"/>
    </row>
    <row r="24" spans="1:28" ht="13.35" customHeight="1">
      <c r="A24" s="50" t="s">
        <v>5</v>
      </c>
      <c r="B24" s="141"/>
      <c r="C24" s="80"/>
      <c r="D24" s="93"/>
      <c r="E24" s="226"/>
      <c r="F24" s="89"/>
      <c r="G24" s="81"/>
      <c r="H24" s="82"/>
      <c r="I24" s="83" t="str">
        <f t="shared" si="2"/>
        <v/>
      </c>
      <c r="J24" s="361" t="str">
        <f t="shared" si="3"/>
        <v/>
      </c>
      <c r="K24" s="200">
        <v>21</v>
      </c>
      <c r="L24" s="133">
        <f t="shared" si="4"/>
        <v>0</v>
      </c>
      <c r="M24" s="135" t="s">
        <v>5</v>
      </c>
      <c r="O24" s="244"/>
      <c r="P24" s="244"/>
      <c r="Q24" s="244"/>
      <c r="R24" s="244"/>
      <c r="S24" s="244"/>
      <c r="T24" s="244"/>
      <c r="U24" s="244"/>
      <c r="V24" s="244"/>
      <c r="W24" s="244"/>
      <c r="X24" s="244"/>
      <c r="Y24" s="244"/>
      <c r="Z24" s="244"/>
      <c r="AA24" s="244"/>
      <c r="AB24" s="244"/>
    </row>
    <row r="25" spans="1:28" ht="13.35" customHeight="1">
      <c r="A25" s="50" t="s">
        <v>5</v>
      </c>
      <c r="B25" s="141"/>
      <c r="C25" s="80"/>
      <c r="D25" s="93"/>
      <c r="E25" s="226"/>
      <c r="F25" s="89"/>
      <c r="G25" s="81"/>
      <c r="H25" s="82"/>
      <c r="I25" s="83" t="str">
        <f t="shared" si="2"/>
        <v/>
      </c>
      <c r="J25" s="361" t="str">
        <f t="shared" si="3"/>
        <v/>
      </c>
      <c r="K25" s="200">
        <v>22</v>
      </c>
      <c r="L25" s="133">
        <f t="shared" si="4"/>
        <v>0</v>
      </c>
      <c r="M25" s="135" t="s">
        <v>5</v>
      </c>
      <c r="O25" s="244"/>
      <c r="P25" s="244"/>
      <c r="Q25" s="244"/>
      <c r="R25" s="244"/>
      <c r="S25" s="244"/>
      <c r="T25" s="244"/>
      <c r="U25" s="244"/>
      <c r="V25" s="244"/>
      <c r="W25" s="244"/>
      <c r="X25" s="244"/>
      <c r="Y25" s="244"/>
      <c r="Z25" s="244"/>
      <c r="AA25" s="244"/>
      <c r="AB25" s="244"/>
    </row>
    <row r="26" spans="1:28" ht="13.35" customHeight="1">
      <c r="A26" s="50" t="s">
        <v>5</v>
      </c>
      <c r="B26" s="141"/>
      <c r="C26" s="80"/>
      <c r="D26" s="93"/>
      <c r="E26" s="226"/>
      <c r="F26" s="89"/>
      <c r="G26" s="81"/>
      <c r="H26" s="82"/>
      <c r="I26" s="83" t="str">
        <f t="shared" si="2"/>
        <v/>
      </c>
      <c r="J26" s="361" t="str">
        <f t="shared" si="3"/>
        <v/>
      </c>
      <c r="K26" s="200">
        <v>23</v>
      </c>
      <c r="L26" s="133">
        <f t="shared" si="4"/>
        <v>0</v>
      </c>
      <c r="M26" s="135" t="s">
        <v>5</v>
      </c>
      <c r="O26" s="244"/>
      <c r="P26" s="244"/>
      <c r="Q26" s="244"/>
      <c r="R26" s="244"/>
      <c r="S26" s="244"/>
      <c r="T26" s="244"/>
      <c r="U26" s="244"/>
      <c r="V26" s="244"/>
      <c r="W26" s="244"/>
      <c r="X26" s="244"/>
      <c r="Y26" s="244"/>
      <c r="Z26" s="244"/>
      <c r="AA26" s="244"/>
      <c r="AB26" s="244"/>
    </row>
    <row r="27" spans="1:28" ht="13.35" customHeight="1">
      <c r="A27" s="50" t="s">
        <v>5</v>
      </c>
      <c r="B27" s="141"/>
      <c r="C27" s="80"/>
      <c r="D27" s="93"/>
      <c r="E27" s="226"/>
      <c r="F27" s="89"/>
      <c r="G27" s="81"/>
      <c r="H27" s="82"/>
      <c r="I27" s="83" t="str">
        <f t="shared" si="2"/>
        <v/>
      </c>
      <c r="J27" s="361" t="str">
        <f t="shared" si="3"/>
        <v/>
      </c>
      <c r="K27" s="200">
        <v>24</v>
      </c>
      <c r="L27" s="133">
        <f t="shared" si="4"/>
        <v>0</v>
      </c>
      <c r="M27" s="135" t="s">
        <v>5</v>
      </c>
      <c r="O27" s="244"/>
      <c r="P27" s="244"/>
      <c r="Q27" s="244"/>
      <c r="R27" s="244"/>
      <c r="S27" s="244"/>
      <c r="T27" s="244"/>
      <c r="U27" s="244"/>
      <c r="V27" s="244"/>
      <c r="W27" s="244"/>
      <c r="X27" s="244"/>
      <c r="Y27" s="244"/>
      <c r="Z27" s="244"/>
      <c r="AA27" s="244"/>
      <c r="AB27" s="244"/>
    </row>
    <row r="28" spans="1:28" ht="13.35" customHeight="1">
      <c r="A28" s="50" t="s">
        <v>5</v>
      </c>
      <c r="B28" s="141"/>
      <c r="C28" s="80"/>
      <c r="D28" s="93"/>
      <c r="E28" s="226"/>
      <c r="F28" s="89"/>
      <c r="G28" s="81"/>
      <c r="H28" s="82"/>
      <c r="I28" s="83" t="str">
        <f t="shared" si="2"/>
        <v/>
      </c>
      <c r="J28" s="361" t="str">
        <f t="shared" si="3"/>
        <v/>
      </c>
      <c r="K28" s="200">
        <v>25</v>
      </c>
      <c r="L28" s="133">
        <f t="shared" si="4"/>
        <v>0</v>
      </c>
      <c r="M28" s="135" t="s">
        <v>5</v>
      </c>
      <c r="O28" s="244"/>
      <c r="P28" s="244"/>
      <c r="Q28" s="244"/>
      <c r="R28" s="244"/>
      <c r="S28" s="244"/>
      <c r="T28" s="244"/>
      <c r="U28" s="244"/>
      <c r="V28" s="244"/>
      <c r="W28" s="244"/>
      <c r="X28" s="244"/>
      <c r="Y28" s="244"/>
      <c r="Z28" s="244"/>
      <c r="AA28" s="244"/>
      <c r="AB28" s="244"/>
    </row>
    <row r="29" spans="1:28" ht="13.35" customHeight="1">
      <c r="A29" s="50" t="s">
        <v>5</v>
      </c>
      <c r="B29" s="141"/>
      <c r="C29" s="80"/>
      <c r="D29" s="93"/>
      <c r="E29" s="226"/>
      <c r="F29" s="89"/>
      <c r="G29" s="81"/>
      <c r="H29" s="82"/>
      <c r="I29" s="83" t="str">
        <f t="shared" si="2"/>
        <v/>
      </c>
      <c r="J29" s="361" t="str">
        <f t="shared" si="3"/>
        <v/>
      </c>
      <c r="K29" s="200">
        <v>26</v>
      </c>
      <c r="L29" s="133">
        <f t="shared" si="4"/>
        <v>0</v>
      </c>
      <c r="M29" s="135" t="s">
        <v>5</v>
      </c>
      <c r="O29" s="244"/>
      <c r="P29" s="244"/>
      <c r="Q29" s="244"/>
      <c r="R29" s="244"/>
      <c r="S29" s="244"/>
      <c r="T29" s="244"/>
      <c r="U29" s="244"/>
      <c r="V29" s="244"/>
      <c r="W29" s="244"/>
      <c r="X29" s="244"/>
      <c r="Y29" s="244"/>
      <c r="Z29" s="244"/>
      <c r="AA29" s="244"/>
      <c r="AB29" s="244"/>
    </row>
    <row r="30" spans="1:28" ht="13.35" customHeight="1">
      <c r="A30" s="50" t="s">
        <v>5</v>
      </c>
      <c r="B30" s="141"/>
      <c r="C30" s="80"/>
      <c r="D30" s="93"/>
      <c r="E30" s="226"/>
      <c r="F30" s="89"/>
      <c r="G30" s="81"/>
      <c r="H30" s="82"/>
      <c r="I30" s="83" t="str">
        <f t="shared" si="2"/>
        <v/>
      </c>
      <c r="J30" s="361" t="str">
        <f t="shared" si="3"/>
        <v/>
      </c>
      <c r="K30" s="200">
        <v>27</v>
      </c>
      <c r="L30" s="133">
        <f t="shared" si="4"/>
        <v>0</v>
      </c>
      <c r="M30" s="135" t="s">
        <v>5</v>
      </c>
      <c r="O30" s="244"/>
      <c r="P30" s="244"/>
      <c r="Q30" s="244"/>
      <c r="R30" s="244"/>
      <c r="S30" s="244"/>
      <c r="T30" s="244"/>
      <c r="U30" s="244"/>
      <c r="V30" s="244"/>
      <c r="W30" s="244"/>
      <c r="X30" s="244"/>
      <c r="Y30" s="244"/>
      <c r="Z30" s="244"/>
      <c r="AA30" s="244"/>
      <c r="AB30" s="244"/>
    </row>
    <row r="31" spans="1:28" ht="13.35" customHeight="1">
      <c r="A31" s="50" t="s">
        <v>5</v>
      </c>
      <c r="B31" s="141"/>
      <c r="C31" s="80"/>
      <c r="D31" s="93"/>
      <c r="E31" s="226"/>
      <c r="F31" s="89"/>
      <c r="G31" s="81"/>
      <c r="H31" s="82"/>
      <c r="I31" s="83" t="str">
        <f t="shared" si="2"/>
        <v/>
      </c>
      <c r="J31" s="361" t="str">
        <f t="shared" si="3"/>
        <v/>
      </c>
      <c r="K31" s="200">
        <v>28</v>
      </c>
      <c r="L31" s="133">
        <f t="shared" si="4"/>
        <v>0</v>
      </c>
      <c r="M31" s="135" t="s">
        <v>5</v>
      </c>
      <c r="O31" s="244"/>
      <c r="P31" s="244"/>
      <c r="Q31" s="244"/>
      <c r="R31" s="244"/>
      <c r="S31" s="244"/>
      <c r="T31" s="244"/>
      <c r="U31" s="244"/>
      <c r="V31" s="244"/>
      <c r="W31" s="244"/>
      <c r="X31" s="244"/>
      <c r="Y31" s="244"/>
      <c r="Z31" s="244"/>
      <c r="AA31" s="244"/>
      <c r="AB31" s="244"/>
    </row>
    <row r="32" spans="1:28" ht="13.35" customHeight="1">
      <c r="A32" s="50" t="s">
        <v>5</v>
      </c>
      <c r="B32" s="141"/>
      <c r="C32" s="80"/>
      <c r="D32" s="93"/>
      <c r="E32" s="226"/>
      <c r="F32" s="89"/>
      <c r="G32" s="81"/>
      <c r="H32" s="82"/>
      <c r="I32" s="83" t="str">
        <f t="shared" si="2"/>
        <v/>
      </c>
      <c r="J32" s="361" t="str">
        <f t="shared" si="3"/>
        <v/>
      </c>
      <c r="K32" s="200">
        <v>29</v>
      </c>
      <c r="L32" s="133">
        <f t="shared" si="4"/>
        <v>0</v>
      </c>
      <c r="M32" s="135" t="s">
        <v>5</v>
      </c>
      <c r="O32" s="244"/>
      <c r="P32" s="244"/>
      <c r="Q32" s="244"/>
      <c r="R32" s="244"/>
      <c r="S32" s="244"/>
      <c r="T32" s="244"/>
      <c r="U32" s="244"/>
      <c r="V32" s="244"/>
      <c r="W32" s="244"/>
      <c r="X32" s="244"/>
      <c r="Y32" s="244"/>
      <c r="Z32" s="244"/>
      <c r="AA32" s="244"/>
      <c r="AB32" s="244"/>
    </row>
    <row r="33" spans="1:28" ht="13.35" customHeight="1">
      <c r="A33" s="50" t="s">
        <v>5</v>
      </c>
      <c r="B33" s="141"/>
      <c r="C33" s="80"/>
      <c r="D33" s="93"/>
      <c r="E33" s="226"/>
      <c r="F33" s="89"/>
      <c r="G33" s="81"/>
      <c r="H33" s="82"/>
      <c r="I33" s="83" t="str">
        <f t="shared" si="2"/>
        <v/>
      </c>
      <c r="J33" s="361" t="str">
        <f t="shared" si="3"/>
        <v/>
      </c>
      <c r="K33" s="200">
        <v>30</v>
      </c>
      <c r="L33" s="133">
        <f t="shared" si="4"/>
        <v>0</v>
      </c>
      <c r="M33" s="135" t="s">
        <v>5</v>
      </c>
      <c r="O33" s="244"/>
      <c r="P33" s="244"/>
      <c r="Q33" s="244"/>
      <c r="R33" s="244"/>
      <c r="S33" s="244"/>
      <c r="T33" s="244"/>
      <c r="U33" s="244"/>
      <c r="V33" s="244"/>
      <c r="W33" s="244"/>
      <c r="X33" s="244"/>
      <c r="Y33" s="244"/>
      <c r="Z33" s="244"/>
      <c r="AA33" s="244"/>
      <c r="AB33" s="244"/>
    </row>
    <row r="34" spans="1:28" ht="13.35" customHeight="1">
      <c r="A34" s="50" t="s">
        <v>5</v>
      </c>
      <c r="B34" s="141"/>
      <c r="C34" s="80"/>
      <c r="D34" s="93"/>
      <c r="E34" s="226"/>
      <c r="F34" s="89"/>
      <c r="G34" s="81"/>
      <c r="H34" s="82"/>
      <c r="I34" s="83" t="str">
        <f t="shared" si="2"/>
        <v/>
      </c>
      <c r="J34" s="361" t="str">
        <f t="shared" si="3"/>
        <v/>
      </c>
      <c r="K34" s="200">
        <v>31</v>
      </c>
      <c r="L34" s="133">
        <f t="shared" si="4"/>
        <v>0</v>
      </c>
      <c r="M34" s="135" t="s">
        <v>5</v>
      </c>
      <c r="O34" s="244"/>
      <c r="P34" s="244"/>
      <c r="Q34" s="244"/>
      <c r="R34" s="244"/>
      <c r="S34" s="244"/>
      <c r="T34" s="244"/>
      <c r="U34" s="244"/>
      <c r="V34" s="244"/>
      <c r="W34" s="244"/>
      <c r="X34" s="244"/>
      <c r="Y34" s="244"/>
      <c r="Z34" s="244"/>
      <c r="AA34" s="244"/>
      <c r="AB34" s="244"/>
    </row>
    <row r="35" spans="1:28" ht="13.35" customHeight="1">
      <c r="A35" s="50" t="s">
        <v>5</v>
      </c>
      <c r="B35" s="141"/>
      <c r="C35" s="80"/>
      <c r="D35" s="93"/>
      <c r="E35" s="226"/>
      <c r="F35" s="89"/>
      <c r="G35" s="81"/>
      <c r="H35" s="82"/>
      <c r="I35" s="83" t="str">
        <f t="shared" si="2"/>
        <v/>
      </c>
      <c r="J35" s="361" t="str">
        <f t="shared" si="3"/>
        <v/>
      </c>
      <c r="K35" s="200">
        <v>32</v>
      </c>
      <c r="L35" s="133">
        <f t="shared" si="4"/>
        <v>0</v>
      </c>
      <c r="M35" s="135" t="s">
        <v>5</v>
      </c>
      <c r="O35" s="244"/>
      <c r="P35" s="244"/>
      <c r="Q35" s="244"/>
      <c r="R35" s="244"/>
      <c r="S35" s="244"/>
      <c r="T35" s="244"/>
      <c r="U35" s="244"/>
      <c r="V35" s="244"/>
      <c r="W35" s="244"/>
      <c r="X35" s="244"/>
      <c r="Y35" s="244"/>
      <c r="Z35" s="244"/>
      <c r="AA35" s="244"/>
      <c r="AB35" s="244"/>
    </row>
    <row r="36" spans="1:28" ht="13.35" customHeight="1">
      <c r="A36" s="50" t="s">
        <v>5</v>
      </c>
      <c r="B36" s="141"/>
      <c r="C36" s="80"/>
      <c r="D36" s="93"/>
      <c r="E36" s="226"/>
      <c r="F36" s="89"/>
      <c r="G36" s="81"/>
      <c r="H36" s="82"/>
      <c r="I36" s="83" t="str">
        <f t="shared" si="2"/>
        <v/>
      </c>
      <c r="J36" s="361" t="str">
        <f t="shared" si="3"/>
        <v/>
      </c>
      <c r="K36" s="200">
        <v>33</v>
      </c>
      <c r="L36" s="133">
        <f t="shared" si="4"/>
        <v>0</v>
      </c>
      <c r="M36" s="135" t="s">
        <v>5</v>
      </c>
      <c r="O36" s="244"/>
      <c r="P36" s="244"/>
      <c r="Q36" s="244"/>
      <c r="R36" s="244"/>
      <c r="S36" s="244"/>
      <c r="T36" s="244"/>
      <c r="U36" s="244"/>
      <c r="V36" s="244"/>
      <c r="W36" s="244"/>
      <c r="X36" s="244"/>
      <c r="Y36" s="244"/>
      <c r="Z36" s="244"/>
      <c r="AA36" s="244"/>
      <c r="AB36" s="244"/>
    </row>
    <row r="37" spans="1:28" ht="13.35" customHeight="1">
      <c r="A37" s="50" t="s">
        <v>5</v>
      </c>
      <c r="B37" s="141"/>
      <c r="C37" s="80"/>
      <c r="D37" s="93"/>
      <c r="E37" s="226"/>
      <c r="F37" s="89"/>
      <c r="G37" s="81"/>
      <c r="H37" s="82"/>
      <c r="I37" s="83" t="str">
        <f t="shared" si="2"/>
        <v/>
      </c>
      <c r="J37" s="361" t="str">
        <f t="shared" si="3"/>
        <v/>
      </c>
      <c r="K37" s="200">
        <v>34</v>
      </c>
      <c r="L37" s="133">
        <f t="shared" si="4"/>
        <v>0</v>
      </c>
      <c r="M37" s="135" t="s">
        <v>5</v>
      </c>
      <c r="O37" s="244"/>
      <c r="P37" s="244"/>
      <c r="Q37" s="244"/>
      <c r="R37" s="244"/>
      <c r="S37" s="244"/>
      <c r="T37" s="244"/>
      <c r="U37" s="244"/>
      <c r="V37" s="244"/>
      <c r="W37" s="244"/>
      <c r="X37" s="244"/>
      <c r="Y37" s="244"/>
      <c r="Z37" s="244"/>
      <c r="AA37" s="244"/>
      <c r="AB37" s="244"/>
    </row>
    <row r="38" spans="1:28" ht="13.35" customHeight="1">
      <c r="A38" s="50" t="s">
        <v>5</v>
      </c>
      <c r="B38" s="141"/>
      <c r="C38" s="80"/>
      <c r="D38" s="93"/>
      <c r="E38" s="226"/>
      <c r="F38" s="89"/>
      <c r="G38" s="81"/>
      <c r="H38" s="82"/>
      <c r="I38" s="83" t="str">
        <f t="shared" si="2"/>
        <v/>
      </c>
      <c r="J38" s="361" t="str">
        <f t="shared" si="3"/>
        <v/>
      </c>
      <c r="K38" s="200">
        <v>35</v>
      </c>
      <c r="L38" s="133">
        <f t="shared" si="4"/>
        <v>0</v>
      </c>
      <c r="M38" s="135" t="s">
        <v>5</v>
      </c>
      <c r="O38" s="244"/>
      <c r="P38" s="244"/>
      <c r="Q38" s="244"/>
      <c r="R38" s="244"/>
      <c r="S38" s="244"/>
      <c r="T38" s="244"/>
      <c r="U38" s="244"/>
      <c r="V38" s="244"/>
      <c r="W38" s="244"/>
      <c r="X38" s="244"/>
      <c r="Y38" s="244"/>
      <c r="Z38" s="244"/>
      <c r="AA38" s="244"/>
      <c r="AB38" s="244"/>
    </row>
    <row r="39" spans="1:28" ht="13.35" customHeight="1">
      <c r="A39" s="50" t="s">
        <v>5</v>
      </c>
      <c r="B39" s="141"/>
      <c r="C39" s="80"/>
      <c r="D39" s="93"/>
      <c r="E39" s="226"/>
      <c r="F39" s="89"/>
      <c r="G39" s="81"/>
      <c r="H39" s="82"/>
      <c r="I39" s="83" t="str">
        <f t="shared" si="2"/>
        <v/>
      </c>
      <c r="J39" s="361" t="str">
        <f t="shared" si="3"/>
        <v/>
      </c>
      <c r="K39" s="200">
        <v>36</v>
      </c>
      <c r="L39" s="133">
        <f t="shared" si="4"/>
        <v>0</v>
      </c>
      <c r="M39" s="135" t="s">
        <v>5</v>
      </c>
      <c r="O39" s="244"/>
      <c r="P39" s="244"/>
      <c r="Q39" s="244"/>
      <c r="R39" s="244"/>
      <c r="S39" s="244"/>
      <c r="T39" s="244"/>
      <c r="U39" s="244"/>
      <c r="V39" s="244"/>
      <c r="W39" s="244"/>
      <c r="X39" s="244"/>
      <c r="Y39" s="244"/>
      <c r="Z39" s="244"/>
      <c r="AA39" s="244"/>
      <c r="AB39" s="244"/>
    </row>
    <row r="40" spans="1:28" ht="13.35" customHeight="1">
      <c r="A40" s="50" t="s">
        <v>5</v>
      </c>
      <c r="B40" s="141"/>
      <c r="C40" s="80"/>
      <c r="D40" s="93"/>
      <c r="E40" s="226"/>
      <c r="F40" s="89"/>
      <c r="G40" s="81"/>
      <c r="H40" s="82"/>
      <c r="I40" s="83" t="str">
        <f t="shared" si="2"/>
        <v/>
      </c>
      <c r="J40" s="361" t="str">
        <f t="shared" si="3"/>
        <v/>
      </c>
      <c r="K40" s="200">
        <v>37</v>
      </c>
      <c r="L40" s="133">
        <f t="shared" si="4"/>
        <v>0</v>
      </c>
      <c r="M40" s="135" t="s">
        <v>5</v>
      </c>
      <c r="O40" s="244"/>
      <c r="P40" s="244"/>
      <c r="Q40" s="244"/>
      <c r="R40" s="244"/>
      <c r="S40" s="244"/>
      <c r="T40" s="244"/>
      <c r="U40" s="244"/>
      <c r="V40" s="244"/>
      <c r="W40" s="244"/>
      <c r="X40" s="244"/>
      <c r="Y40" s="244"/>
      <c r="Z40" s="244"/>
      <c r="AA40" s="244"/>
      <c r="AB40" s="244"/>
    </row>
    <row r="41" spans="1:28" ht="13.35" customHeight="1">
      <c r="A41" s="50" t="s">
        <v>5</v>
      </c>
      <c r="B41" s="141"/>
      <c r="C41" s="80"/>
      <c r="D41" s="93"/>
      <c r="E41" s="226"/>
      <c r="F41" s="89"/>
      <c r="G41" s="81"/>
      <c r="H41" s="82"/>
      <c r="I41" s="83" t="str">
        <f t="shared" si="2"/>
        <v/>
      </c>
      <c r="J41" s="361" t="str">
        <f t="shared" si="3"/>
        <v/>
      </c>
      <c r="K41" s="200">
        <v>38</v>
      </c>
      <c r="L41" s="133">
        <f t="shared" si="4"/>
        <v>0</v>
      </c>
      <c r="M41" s="135" t="s">
        <v>5</v>
      </c>
      <c r="O41" s="244"/>
      <c r="P41" s="244"/>
      <c r="Q41" s="244"/>
      <c r="R41" s="244"/>
      <c r="S41" s="244"/>
      <c r="T41" s="244"/>
      <c r="U41" s="244"/>
      <c r="V41" s="244"/>
      <c r="W41" s="244"/>
      <c r="X41" s="244"/>
      <c r="Y41" s="244"/>
      <c r="Z41" s="244"/>
      <c r="AA41" s="244"/>
      <c r="AB41" s="244"/>
    </row>
    <row r="42" spans="1:28" ht="13.35" customHeight="1">
      <c r="A42" s="50" t="s">
        <v>5</v>
      </c>
      <c r="B42" s="141"/>
      <c r="C42" s="80"/>
      <c r="D42" s="93"/>
      <c r="E42" s="226"/>
      <c r="F42" s="89"/>
      <c r="G42" s="81"/>
      <c r="H42" s="82"/>
      <c r="I42" s="83" t="str">
        <f t="shared" si="2"/>
        <v/>
      </c>
      <c r="J42" s="361" t="str">
        <f t="shared" si="3"/>
        <v/>
      </c>
      <c r="K42" s="200">
        <v>39</v>
      </c>
      <c r="L42" s="133">
        <f t="shared" si="4"/>
        <v>0</v>
      </c>
      <c r="M42" s="135" t="s">
        <v>5</v>
      </c>
      <c r="O42" s="244"/>
      <c r="P42" s="244"/>
      <c r="Q42" s="244"/>
      <c r="R42" s="244"/>
      <c r="S42" s="244"/>
      <c r="T42" s="244"/>
      <c r="U42" s="244"/>
      <c r="V42" s="244"/>
      <c r="W42" s="244"/>
      <c r="X42" s="244"/>
      <c r="Y42" s="244"/>
      <c r="Z42" s="244"/>
      <c r="AA42" s="244"/>
      <c r="AB42" s="244"/>
    </row>
    <row r="43" spans="1:28" ht="13.35" customHeight="1">
      <c r="A43" s="50" t="s">
        <v>5</v>
      </c>
      <c r="B43" s="141"/>
      <c r="C43" s="80"/>
      <c r="D43" s="93"/>
      <c r="E43" s="226"/>
      <c r="F43" s="89"/>
      <c r="G43" s="81"/>
      <c r="H43" s="82"/>
      <c r="I43" s="83" t="str">
        <f t="shared" si="2"/>
        <v/>
      </c>
      <c r="J43" s="361" t="str">
        <f t="shared" si="3"/>
        <v/>
      </c>
      <c r="K43" s="200">
        <v>40</v>
      </c>
      <c r="L43" s="133">
        <f t="shared" si="4"/>
        <v>0</v>
      </c>
      <c r="M43" s="135" t="s">
        <v>5</v>
      </c>
      <c r="O43" s="244"/>
      <c r="P43" s="244"/>
      <c r="Q43" s="244"/>
      <c r="R43" s="244"/>
      <c r="S43" s="244"/>
      <c r="T43" s="244"/>
      <c r="U43" s="244"/>
      <c r="V43" s="244"/>
      <c r="W43" s="244"/>
      <c r="X43" s="244"/>
      <c r="Y43" s="244"/>
      <c r="Z43" s="244"/>
      <c r="AA43" s="244"/>
      <c r="AB43" s="244"/>
    </row>
    <row r="44" spans="1:28" ht="13.35" customHeight="1">
      <c r="A44" s="50" t="s">
        <v>5</v>
      </c>
      <c r="B44" s="141"/>
      <c r="C44" s="80"/>
      <c r="D44" s="93"/>
      <c r="E44" s="226"/>
      <c r="F44" s="89"/>
      <c r="G44" s="81"/>
      <c r="H44" s="82"/>
      <c r="I44" s="83" t="str">
        <f t="shared" si="2"/>
        <v/>
      </c>
      <c r="J44" s="361" t="str">
        <f t="shared" si="3"/>
        <v/>
      </c>
      <c r="K44" s="200">
        <v>41</v>
      </c>
      <c r="L44" s="133">
        <f t="shared" si="4"/>
        <v>0</v>
      </c>
      <c r="M44" s="135" t="s">
        <v>5</v>
      </c>
      <c r="O44" s="244"/>
      <c r="P44" s="244"/>
      <c r="Q44" s="244"/>
      <c r="R44" s="244"/>
      <c r="S44" s="244"/>
      <c r="T44" s="244"/>
      <c r="U44" s="244"/>
      <c r="V44" s="244"/>
      <c r="W44" s="244"/>
      <c r="X44" s="244"/>
      <c r="Y44" s="244"/>
      <c r="Z44" s="244"/>
      <c r="AA44" s="244"/>
      <c r="AB44" s="244"/>
    </row>
    <row r="45" spans="1:28" ht="13.35" customHeight="1">
      <c r="A45" s="50" t="s">
        <v>5</v>
      </c>
      <c r="B45" s="141"/>
      <c r="C45" s="80"/>
      <c r="D45" s="93"/>
      <c r="E45" s="226"/>
      <c r="F45" s="89"/>
      <c r="G45" s="81"/>
      <c r="H45" s="82"/>
      <c r="I45" s="83" t="str">
        <f t="shared" ref="I45:I46" si="7">IF(G45&lt;&gt;"",+G45-G45/(1+H45/100),"")</f>
        <v/>
      </c>
      <c r="J45" s="361" t="str">
        <f t="shared" ref="J45:J46" si="8">IF(G45&lt;&gt;0,+G45-I45,"")</f>
        <v/>
      </c>
      <c r="K45" s="200">
        <v>44</v>
      </c>
      <c r="L45" s="133">
        <f t="shared" ref="L45:L46" si="9">IF(B45&lt;$O$2,0,IF(B45&lt;$P$2,1,IF(B45&lt;$Q$2,2,IF(B45&lt;$R$2,3,IF(B45&lt;$S$2,4,IF(B45&lt;$T$2,5,IF(B45&lt;$U$2,6,IF(B45&lt;$V$2,7,IF(B45&lt;$W$2,8,IF(B45&lt;$X$2,9,IF(B45&lt;$Y$2,10,IF(B45&lt;$Z$2,11,IF(B45&lt;=$Z$3,12,0)))))))))))))</f>
        <v>0</v>
      </c>
      <c r="M45" s="135" t="s">
        <v>5</v>
      </c>
      <c r="O45" s="244"/>
      <c r="P45" s="244"/>
      <c r="Q45" s="244"/>
      <c r="R45" s="244"/>
      <c r="S45" s="244"/>
      <c r="T45" s="244"/>
      <c r="U45" s="244"/>
      <c r="V45" s="244"/>
      <c r="W45" s="244"/>
      <c r="X45" s="244"/>
      <c r="Y45" s="244"/>
      <c r="Z45" s="244"/>
      <c r="AA45" s="244"/>
      <c r="AB45" s="244"/>
    </row>
    <row r="46" spans="1:28" ht="13.35" customHeight="1" thickBot="1">
      <c r="A46" s="50" t="s">
        <v>5</v>
      </c>
      <c r="B46" s="141"/>
      <c r="C46" s="80"/>
      <c r="D46" s="93"/>
      <c r="E46" s="226"/>
      <c r="F46" s="89"/>
      <c r="G46" s="81"/>
      <c r="H46" s="82"/>
      <c r="I46" s="83" t="str">
        <f t="shared" si="7"/>
        <v/>
      </c>
      <c r="J46" s="361" t="str">
        <f t="shared" si="8"/>
        <v/>
      </c>
      <c r="K46" s="200">
        <v>45</v>
      </c>
      <c r="L46" s="133">
        <f t="shared" si="9"/>
        <v>0</v>
      </c>
      <c r="M46" s="135" t="s">
        <v>5</v>
      </c>
      <c r="O46" s="244"/>
      <c r="P46" s="244"/>
      <c r="Q46" s="244"/>
      <c r="R46" s="244"/>
      <c r="S46" s="244"/>
      <c r="T46" s="244"/>
      <c r="U46" s="244"/>
      <c r="V46" s="244"/>
      <c r="W46" s="244"/>
      <c r="X46" s="244"/>
      <c r="Y46" s="244"/>
      <c r="Z46" s="244"/>
      <c r="AA46" s="244"/>
      <c r="AB46" s="244"/>
    </row>
    <row r="47" spans="1:28" ht="12" customHeight="1" thickTop="1" thickBot="1">
      <c r="A47" s="391" t="s">
        <v>283</v>
      </c>
      <c r="B47" s="1244" t="str">
        <f>IF($A$48=0,"^ Zeile einfügen","bis hierher ziehen!")</f>
        <v>^ Zeile einfügen</v>
      </c>
      <c r="C47" s="1244"/>
      <c r="D47" s="392" t="s">
        <v>5</v>
      </c>
      <c r="E47" s="393" t="s">
        <v>5</v>
      </c>
      <c r="F47" s="394" t="s">
        <v>5</v>
      </c>
      <c r="G47" s="394"/>
      <c r="H47" s="395"/>
      <c r="I47" s="396"/>
      <c r="J47" s="425"/>
      <c r="K47" s="201">
        <v>0</v>
      </c>
      <c r="L47" s="185" t="s">
        <v>5</v>
      </c>
      <c r="M47" s="398" t="s">
        <v>283</v>
      </c>
    </row>
    <row r="48" spans="1:28" ht="12" customHeight="1" thickTop="1" thickBot="1">
      <c r="A48" s="390">
        <f>COUNTBLANK(A3:A47)+A49</f>
        <v>0</v>
      </c>
      <c r="B48" s="193" t="str">
        <f>+EÜR!C35</f>
        <v>ü</v>
      </c>
      <c r="C48" s="194" t="s">
        <v>5</v>
      </c>
      <c r="D48" s="194" t="s">
        <v>5</v>
      </c>
      <c r="E48" s="195" t="s">
        <v>5</v>
      </c>
      <c r="F48" s="196" t="s">
        <v>5</v>
      </c>
      <c r="G48" s="197">
        <f>SUBTOTAL(9,G3:G47)</f>
        <v>0</v>
      </c>
      <c r="H48" s="1242">
        <f>SUBTOTAL(9,I3:I47)</f>
        <v>0</v>
      </c>
      <c r="I48" s="1243">
        <f>SUBTOTAL(9,I3:I47)</f>
        <v>0</v>
      </c>
      <c r="J48" s="1293">
        <f>G48-H48</f>
        <v>0</v>
      </c>
      <c r="K48" s="1294"/>
      <c r="L48" s="1295"/>
      <c r="M48" s="135" t="s">
        <v>5</v>
      </c>
    </row>
    <row r="49" spans="1:14" ht="12" customHeight="1" thickTop="1" thickBot="1">
      <c r="A49" s="390">
        <f>IF(ISERROR(J47),1,0)</f>
        <v>0</v>
      </c>
      <c r="B49" s="192">
        <f>J48-G49-E49-C49</f>
        <v>0</v>
      </c>
      <c r="C49" s="1239">
        <f>SUMIF(F4:F47,"Kreditkarte",G4:G47)</f>
        <v>0</v>
      </c>
      <c r="D49" s="1239"/>
      <c r="E49" s="1240">
        <f>SUMIF(F4:F47,"Konto",G4:G47)</f>
        <v>0</v>
      </c>
      <c r="F49" s="1240"/>
      <c r="G49" s="1241">
        <f>SUMIF(F4:F47,"Geldbeutel",G4:G47)</f>
        <v>0</v>
      </c>
      <c r="H49" s="1241"/>
      <c r="I49" s="1241"/>
      <c r="J49" s="1296"/>
      <c r="K49" s="1297"/>
      <c r="L49" s="1298"/>
      <c r="M49" s="135" t="s">
        <v>5</v>
      </c>
    </row>
    <row r="50" spans="1:14" s="15" customFormat="1" ht="5.25" customHeight="1" thickTop="1">
      <c r="A50" s="36"/>
      <c r="B50" s="2"/>
      <c r="C50" s="3"/>
      <c r="D50" s="3"/>
      <c r="E50" s="1"/>
      <c r="G50" s="16"/>
      <c r="H50" s="16"/>
      <c r="I50" s="17"/>
      <c r="J50" s="18"/>
      <c r="K50" s="18"/>
      <c r="L50" s="31"/>
      <c r="N50" s="148"/>
    </row>
    <row r="51" spans="1:14">
      <c r="A51" s="36"/>
    </row>
  </sheetData>
  <sheetProtection formatCells="0" insertRows="0" deleteRows="0" selectLockedCells="1" sort="0" autoFilter="0"/>
  <sortState xmlns:xlrd2="http://schemas.microsoft.com/office/spreadsheetml/2017/richdata2" ref="B4:H32">
    <sortCondition ref="B4:B32"/>
  </sortState>
  <mergeCells count="15">
    <mergeCell ref="C2:I2"/>
    <mergeCell ref="J2:L2"/>
    <mergeCell ref="AA9:AB9"/>
    <mergeCell ref="O10:Z10"/>
    <mergeCell ref="O11:Z11"/>
    <mergeCell ref="AA4:AB4"/>
    <mergeCell ref="AA13:AB13"/>
    <mergeCell ref="O14:Z14"/>
    <mergeCell ref="AA14:AB14"/>
    <mergeCell ref="J48:L49"/>
    <mergeCell ref="C49:D49"/>
    <mergeCell ref="E49:F49"/>
    <mergeCell ref="G49:I49"/>
    <mergeCell ref="H48:I48"/>
    <mergeCell ref="B47:C47"/>
  </mergeCells>
  <phoneticPr fontId="188" type="noConversion"/>
  <conditionalFormatting sqref="A4:A46">
    <cfRule type="expression" dxfId="898" priority="23">
      <formula>ISERROR(J4)</formula>
    </cfRule>
    <cfRule type="cellIs" dxfId="897" priority="24" operator="equal">
      <formula>""</formula>
    </cfRule>
  </conditionalFormatting>
  <conditionalFormatting sqref="A47:C47">
    <cfRule type="expression" dxfId="896" priority="8">
      <formula>$A$48&lt;&gt;0</formula>
    </cfRule>
  </conditionalFormatting>
  <conditionalFormatting sqref="B2">
    <cfRule type="expression" dxfId="895" priority="50" stopIfTrue="1">
      <formula>$B$48="x"</formula>
    </cfRule>
  </conditionalFormatting>
  <conditionalFormatting sqref="B4:B46">
    <cfRule type="cellIs" dxfId="892" priority="37" operator="equal">
      <formula>""</formula>
    </cfRule>
  </conditionalFormatting>
  <conditionalFormatting sqref="B48">
    <cfRule type="cellIs" dxfId="891" priority="73" operator="equal">
      <formula>"y"</formula>
    </cfRule>
  </conditionalFormatting>
  <conditionalFormatting sqref="B3:J3">
    <cfRule type="expression" dxfId="890" priority="10338">
      <formula>$B$48="x"</formula>
    </cfRule>
  </conditionalFormatting>
  <conditionalFormatting sqref="B4:J46">
    <cfRule type="expression" dxfId="889" priority="33">
      <formula>$B$1="x"</formula>
    </cfRule>
  </conditionalFormatting>
  <conditionalFormatting sqref="B3:L3">
    <cfRule type="expression" dxfId="888" priority="67">
      <formula>$B$48="x"</formula>
    </cfRule>
  </conditionalFormatting>
  <conditionalFormatting sqref="C4:D46">
    <cfRule type="expression" dxfId="887" priority="40">
      <formula>AND($B4&lt;&gt;"",$C4="")</formula>
    </cfRule>
  </conditionalFormatting>
  <conditionalFormatting sqref="C49:I49">
    <cfRule type="cellIs" dxfId="886" priority="72" stopIfTrue="1" operator="lessThan">
      <formula>0</formula>
    </cfRule>
    <cfRule type="cellIs" dxfId="885" priority="70" stopIfTrue="1" operator="greaterThanOrEqual">
      <formula>0</formula>
    </cfRule>
  </conditionalFormatting>
  <conditionalFormatting sqref="D47:J47">
    <cfRule type="expression" dxfId="884" priority="10">
      <formula>$A$48&lt;&gt;0</formula>
    </cfRule>
  </conditionalFormatting>
  <conditionalFormatting sqref="H4:H46">
    <cfRule type="expression" dxfId="883" priority="36">
      <formula>AND(G4&lt;&gt;"",H4="",$I$1&lt;&gt;"x")</formula>
    </cfRule>
  </conditionalFormatting>
  <conditionalFormatting sqref="H4:I46">
    <cfRule type="expression" dxfId="882" priority="34">
      <formula>AND($I4&lt;&gt;0,$I$1&lt;&gt;"ü")</formula>
    </cfRule>
    <cfRule type="expression" dxfId="881" priority="35">
      <formula>$I$1&lt;&gt;"ü"</formula>
    </cfRule>
  </conditionalFormatting>
  <conditionalFormatting sqref="J48:L48 C49:L49 C48:H48">
    <cfRule type="expression" dxfId="879" priority="69">
      <formula>$B$48="x"</formula>
    </cfRule>
  </conditionalFormatting>
  <conditionalFormatting sqref="J48:L49">
    <cfRule type="expression" dxfId="878" priority="68">
      <formula>AND($B$48="x",$J$48&lt;&gt;0)</formula>
    </cfRule>
  </conditionalFormatting>
  <conditionalFormatting sqref="K4:L46">
    <cfRule type="expression" dxfId="877" priority="16770">
      <formula>$B$48="x"</formula>
    </cfRule>
  </conditionalFormatting>
  <conditionalFormatting sqref="M3">
    <cfRule type="cellIs" dxfId="876" priority="32" operator="equal">
      <formula>""</formula>
    </cfRule>
  </conditionalFormatting>
  <conditionalFormatting sqref="M4:M46">
    <cfRule type="expression" dxfId="875" priority="30">
      <formula>ISERROR(J4)</formula>
    </cfRule>
    <cfRule type="cellIs" dxfId="874" priority="31" operator="equal">
      <formula>""</formula>
    </cfRule>
  </conditionalFormatting>
  <conditionalFormatting sqref="M47">
    <cfRule type="expression" dxfId="873" priority="9">
      <formula>$A$48&lt;&gt;0</formula>
    </cfRule>
  </conditionalFormatting>
  <conditionalFormatting sqref="M47:M49">
    <cfRule type="cellIs" dxfId="872" priority="12" operator="equal">
      <formula>""</formula>
    </cfRule>
  </conditionalFormatting>
  <conditionalFormatting sqref="N10:AB10">
    <cfRule type="expression" dxfId="871" priority="7">
      <formula>$N$2=0</formula>
    </cfRule>
  </conditionalFormatting>
  <conditionalFormatting sqref="O11:Z11">
    <cfRule type="cellIs" dxfId="870" priority="54" operator="equal">
      <formula>"Fehler!"</formula>
    </cfRule>
  </conditionalFormatting>
  <conditionalFormatting sqref="O4:AA4">
    <cfRule type="expression" dxfId="866" priority="49">
      <formula>$N$2=0</formula>
    </cfRule>
  </conditionalFormatting>
  <conditionalFormatting sqref="O2:AB3">
    <cfRule type="expression" dxfId="864" priority="2">
      <formula>$N$2=0</formula>
    </cfRule>
  </conditionalFormatting>
  <conditionalFormatting sqref="O5:AB8 O9:AA9">
    <cfRule type="expression" dxfId="863" priority="53">
      <formula>$N$2=0</formula>
    </cfRule>
  </conditionalFormatting>
  <conditionalFormatting sqref="O11:AB14">
    <cfRule type="expression" dxfId="862" priority="1">
      <formula>$N$2=0</formula>
    </cfRule>
  </conditionalFormatting>
  <conditionalFormatting sqref="O47:AB49">
    <cfRule type="expression" dxfId="861" priority="11">
      <formula>$N$2=0</formula>
    </cfRule>
  </conditionalFormatting>
  <dataValidations count="2">
    <dataValidation type="list" allowBlank="1" showInputMessage="1" showErrorMessage="1" sqref="F4:F46" xr:uid="{33211708-196D-4249-AE58-11FE6025C9E6}">
      <formula1>"Konto,Geldbeutel,Kreditkarte,x"</formula1>
    </dataValidation>
    <dataValidation type="list" allowBlank="1" showInputMessage="1" showErrorMessage="1" sqref="H4:H46" xr:uid="{B799FD46-C8EE-475C-91BD-3ACA7AB70077}">
      <formula1>"19,7,0,~"</formula1>
    </dataValidation>
  </dataValidations>
  <hyperlinks>
    <hyperlink ref="J2" location="'2022 EÜR'!A1" display="Menü" xr:uid="{997DE9E8-A787-4399-B551-FA04AEB56B0C}"/>
    <hyperlink ref="J2:L2" location="EÜR!A1" display="EÜR" xr:uid="{B3EAA955-A124-4AEC-B801-20D483E859C4}"/>
  </hyperlinks>
  <printOptions horizontalCentered="1"/>
  <pageMargins left="0" right="0" top="0" bottom="0.31496062992125984" header="0" footer="0"/>
  <pageSetup paperSize="9" orientation="portrait" r:id="rId1"/>
  <headerFooter>
    <oddFooter>&amp;L&amp;"Arial,Standard"&amp;8Datei: &amp;Z&amp;F/&amp;A&amp;C&amp;"Arial,Standard"&amp;8Seite &amp;P von &amp;N&amp;R&amp;"Arial,Standard"&amp;8Druck: &amp;D&amp;T Uhr</oddFooter>
  </headerFooter>
  <extLst>
    <ext xmlns:x14="http://schemas.microsoft.com/office/spreadsheetml/2009/9/main" uri="{78C0D931-6437-407d-A8EE-F0AAD7539E65}">
      <x14:conditionalFormattings>
        <x14:conditionalFormatting xmlns:xm="http://schemas.microsoft.com/office/excel/2006/main">
          <x14:cfRule type="cellIs" priority="38" operator="greaterThan" id="{03988540-D542-4CEF-8A19-C9684E7D1D73}">
            <xm:f>EÜR!$I$78</xm:f>
            <x14:dxf>
              <font>
                <b/>
                <i val="0"/>
                <color rgb="FFFFFF00"/>
              </font>
              <fill>
                <patternFill>
                  <bgColor rgb="FFC00000"/>
                </patternFill>
              </fill>
            </x14:dxf>
          </x14:cfRule>
          <x14:cfRule type="cellIs" priority="39" operator="lessThan" id="{FE4A9418-396B-45DF-B3B0-F1CC5166D027}">
            <xm:f>EÜR!$I$77</xm:f>
            <x14:dxf>
              <font>
                <b/>
                <i val="0"/>
                <color rgb="FFFFFF00"/>
              </font>
              <fill>
                <patternFill>
                  <bgColor rgb="FFC00000"/>
                </patternFill>
              </fill>
            </x14:dxf>
          </x14:cfRule>
          <xm:sqref>B4:B46</xm:sqref>
        </x14:conditionalFormatting>
        <x14:conditionalFormatting xmlns:xm="http://schemas.microsoft.com/office/excel/2006/main">
          <x14:cfRule type="expression" priority="51" id="{42831FFA-2E64-47FF-B91A-656CED17C166}">
            <xm:f>AND(EÜR!$J$66&lt;&gt;"ü",$H$48&lt;&gt;0)</xm:f>
            <x14:dxf>
              <font>
                <b/>
                <i val="0"/>
                <color rgb="FFFFFF00"/>
              </font>
              <fill>
                <patternFill>
                  <bgColor rgb="FFFF0000"/>
                </patternFill>
              </fill>
            </x14:dxf>
          </x14:cfRule>
          <xm:sqref>H48:I48</xm:sqref>
        </x14:conditionalFormatting>
        <x14:conditionalFormatting xmlns:xm="http://schemas.microsoft.com/office/excel/2006/main">
          <x14:cfRule type="expression" priority="55" id="{53A2C80C-F170-445E-9580-B0CF37E3B814}">
            <xm:f>AND(O13&lt;&gt;0,U!L36="!",U!L37="!")</xm:f>
            <x14:dxf>
              <font>
                <b/>
                <i val="0"/>
                <color rgb="FFFF0000"/>
              </font>
              <fill>
                <patternFill>
                  <bgColor rgb="FFFFCCCC"/>
                </patternFill>
              </fill>
            </x14:dxf>
          </x14:cfRule>
          <x14:cfRule type="expression" priority="56" id="{17653729-07A8-4E75-AA93-46D9BA5E9C40}">
            <xm:f>U!L37&lt;&gt;"!"</xm:f>
            <x14:dxf>
              <font>
                <b/>
                <i val="0"/>
                <color rgb="FF006666"/>
              </font>
              <fill>
                <patternFill>
                  <bgColor theme="6" tint="0.39994506668294322"/>
                </patternFill>
              </fill>
            </x14:dxf>
          </x14:cfRule>
          <x14:cfRule type="expression" priority="57" id="{E4B31319-2B85-472B-B8C6-784ACE613570}">
            <xm:f>U!L36&lt;&gt;"!"</xm:f>
            <x14:dxf>
              <font>
                <b/>
                <i val="0"/>
                <color theme="9" tint="-0.499984740745262"/>
              </font>
              <fill>
                <patternFill>
                  <bgColor rgb="FFFFFF99"/>
                </patternFill>
              </fill>
            </x14:dxf>
          </x14:cfRule>
          <xm:sqref>O13:Z13</xm:sqref>
        </x14:conditionalFormatting>
        <x14:conditionalFormatting xmlns:xm="http://schemas.microsoft.com/office/excel/2006/main">
          <x14:cfRule type="expression" priority="3" id="{9F2F76CE-9BF5-4900-8A4E-B57B7652EEA8}">
            <xm:f>EÜR!$J$66="-"</xm:f>
            <x14:dxf>
              <font>
                <b/>
                <i val="0"/>
                <color theme="0"/>
              </font>
              <fill>
                <patternFill>
                  <bgColor theme="0"/>
                </patternFill>
              </fill>
              <border>
                <left/>
                <right/>
                <top/>
                <bottom/>
              </border>
            </x14:dxf>
          </x14:cfRule>
          <xm:sqref>O12:AA14</xm:sqref>
        </x14:conditionalFormatting>
      </x14:conditionalFormattings>
    </ext>
  </extLst>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C1E2EA-DB40-466E-8867-6A0E0E85FD65}">
  <sheetPr codeName="Tabelle23">
    <tabColor theme="9" tint="0.39997558519241921"/>
    <pageSetUpPr autoPageBreaks="0"/>
  </sheetPr>
  <dimension ref="A1:AB51"/>
  <sheetViews>
    <sheetView showGridLines="0" showRowColHeaders="0" zoomScaleNormal="100" workbookViewId="0">
      <pane ySplit="3" topLeftCell="A4" activePane="bottomLeft" state="frozen"/>
      <selection activeCell="F4" sqref="F4:F46"/>
      <selection pane="bottomLeft" activeCell="A4" sqref="A4"/>
    </sheetView>
  </sheetViews>
  <sheetFormatPr baseColWidth="10" defaultColWidth="9.77734375" defaultRowHeight="12.75"/>
  <cols>
    <col min="1" max="1" width="0.77734375" style="12" customWidth="1"/>
    <col min="2" max="2" width="7.6640625" style="30" customWidth="1"/>
    <col min="3" max="3" width="21.6640625" style="24" customWidth="1"/>
    <col min="4" max="4" width="7.6640625" style="24" customWidth="1"/>
    <col min="5" max="5" width="6.6640625" style="25" customWidth="1"/>
    <col min="6" max="6" width="9.6640625" style="26" customWidth="1"/>
    <col min="7" max="7" width="9.6640625" style="27" customWidth="1"/>
    <col min="8" max="8" width="2.6640625" style="28" customWidth="1"/>
    <col min="9" max="9" width="6.6640625" style="29" customWidth="1"/>
    <col min="10" max="10" width="9.6640625" style="27" customWidth="1"/>
    <col min="11" max="11" width="2.5546875" style="27" hidden="1" customWidth="1"/>
    <col min="12" max="12" width="1.5546875" style="32" hidden="1" customWidth="1"/>
    <col min="13" max="13" width="0.77734375" style="13" customWidth="1"/>
    <col min="14" max="14" width="1.77734375" style="147" customWidth="1"/>
    <col min="15" max="26" width="8.77734375" style="13" customWidth="1"/>
    <col min="27" max="27" width="10.33203125" style="13" customWidth="1"/>
    <col min="28" max="28" width="8.33203125" style="13" customWidth="1"/>
    <col min="29" max="16384" width="9.77734375" style="13"/>
  </cols>
  <sheetData>
    <row r="1" spans="1:28" s="37" customFormat="1" ht="3" customHeight="1" thickBot="1">
      <c r="A1" s="36"/>
      <c r="B1" s="53" t="str">
        <f>+B48</f>
        <v>ü</v>
      </c>
      <c r="C1" s="54">
        <f>+C49</f>
        <v>0</v>
      </c>
      <c r="D1" s="54"/>
      <c r="E1" s="53">
        <f>+E49</f>
        <v>0</v>
      </c>
      <c r="F1" s="53"/>
      <c r="G1" s="54">
        <f>+G49</f>
        <v>0</v>
      </c>
      <c r="H1" s="53"/>
      <c r="I1" s="338" t="str">
        <f>+EÜR!J66</f>
        <v>-</v>
      </c>
      <c r="J1" s="54">
        <f>+J48</f>
        <v>0</v>
      </c>
      <c r="K1" s="198"/>
      <c r="L1" s="56"/>
      <c r="N1" s="190"/>
    </row>
    <row r="2" spans="1:28" ht="23.1" customHeight="1" thickTop="1" thickBot="1">
      <c r="A2" s="36"/>
      <c r="B2" s="296" t="str">
        <f>+EÜR!D36</f>
        <v>A15</v>
      </c>
      <c r="C2" s="1290" t="str">
        <f>+EÜR!F36</f>
        <v>EDV-Kosten</v>
      </c>
      <c r="D2" s="1291"/>
      <c r="E2" s="1291"/>
      <c r="F2" s="1291"/>
      <c r="G2" s="1291"/>
      <c r="H2" s="1291"/>
      <c r="I2" s="1292"/>
      <c r="J2" s="1227" t="s">
        <v>8</v>
      </c>
      <c r="K2" s="1228"/>
      <c r="L2" s="1229"/>
      <c r="M2" s="134"/>
      <c r="N2" s="190">
        <f>IF(OR(B48="x",N3=1),0,1)</f>
        <v>1</v>
      </c>
      <c r="O2" s="188">
        <f>+EOMONTH(EÜR!$I$3,-1)+1</f>
        <v>46023</v>
      </c>
      <c r="P2" s="188">
        <f t="shared" ref="P2:Z2" si="0">+O3+1</f>
        <v>46054</v>
      </c>
      <c r="Q2" s="188">
        <f t="shared" si="0"/>
        <v>46082</v>
      </c>
      <c r="R2" s="188">
        <f t="shared" si="0"/>
        <v>46113</v>
      </c>
      <c r="S2" s="188">
        <f t="shared" si="0"/>
        <v>46143</v>
      </c>
      <c r="T2" s="188">
        <f t="shared" si="0"/>
        <v>46174</v>
      </c>
      <c r="U2" s="188">
        <f t="shared" si="0"/>
        <v>46204</v>
      </c>
      <c r="V2" s="188">
        <f t="shared" si="0"/>
        <v>46235</v>
      </c>
      <c r="W2" s="188">
        <f t="shared" si="0"/>
        <v>46266</v>
      </c>
      <c r="X2" s="188">
        <f t="shared" si="0"/>
        <v>46296</v>
      </c>
      <c r="Y2" s="188">
        <f t="shared" si="0"/>
        <v>46327</v>
      </c>
      <c r="Z2" s="188">
        <f t="shared" si="0"/>
        <v>46357</v>
      </c>
      <c r="AA2" s="48"/>
    </row>
    <row r="3" spans="1:28" ht="14.25" customHeight="1" thickTop="1">
      <c r="A3" s="36" t="s">
        <v>5</v>
      </c>
      <c r="B3" s="58" t="s">
        <v>1</v>
      </c>
      <c r="C3" s="59" t="s">
        <v>6</v>
      </c>
      <c r="D3" s="60"/>
      <c r="E3" s="310" t="s">
        <v>7</v>
      </c>
      <c r="F3" s="61" t="s">
        <v>4</v>
      </c>
      <c r="G3" s="62" t="s">
        <v>31</v>
      </c>
      <c r="H3" s="63" t="s">
        <v>33</v>
      </c>
      <c r="I3" s="64" t="s">
        <v>32</v>
      </c>
      <c r="J3" s="275" t="s">
        <v>34</v>
      </c>
      <c r="K3" s="199">
        <v>0</v>
      </c>
      <c r="L3" s="65" t="s">
        <v>5</v>
      </c>
      <c r="M3" s="135" t="s">
        <v>5</v>
      </c>
      <c r="N3" s="222">
        <f>IF(SUBTOTAL(109,K3:K47)&lt;&gt;SUM(K3:K47),1,0)</f>
        <v>0</v>
      </c>
      <c r="O3" s="189">
        <f>EOMONTH(O2,0)</f>
        <v>46053</v>
      </c>
      <c r="P3" s="189">
        <f t="shared" ref="P3:Z3" si="1">EOMONTH(P2,0)</f>
        <v>46081</v>
      </c>
      <c r="Q3" s="189">
        <f t="shared" si="1"/>
        <v>46112</v>
      </c>
      <c r="R3" s="189">
        <f t="shared" si="1"/>
        <v>46142</v>
      </c>
      <c r="S3" s="189">
        <f t="shared" si="1"/>
        <v>46173</v>
      </c>
      <c r="T3" s="189">
        <f t="shared" si="1"/>
        <v>46203</v>
      </c>
      <c r="U3" s="189">
        <f t="shared" si="1"/>
        <v>46234</v>
      </c>
      <c r="V3" s="189">
        <f t="shared" si="1"/>
        <v>46265</v>
      </c>
      <c r="W3" s="189">
        <f t="shared" si="1"/>
        <v>46295</v>
      </c>
      <c r="X3" s="189">
        <f t="shared" si="1"/>
        <v>46326</v>
      </c>
      <c r="Y3" s="189">
        <f t="shared" si="1"/>
        <v>46356</v>
      </c>
      <c r="Z3" s="189">
        <f t="shared" si="1"/>
        <v>46387</v>
      </c>
      <c r="AB3" s="14"/>
    </row>
    <row r="4" spans="1:28" ht="13.35" customHeight="1">
      <c r="A4" s="50" t="s">
        <v>5</v>
      </c>
      <c r="B4" s="141"/>
      <c r="C4" s="80"/>
      <c r="D4" s="93"/>
      <c r="E4" s="226"/>
      <c r="F4" s="89"/>
      <c r="G4" s="81"/>
      <c r="H4" s="82"/>
      <c r="I4" s="83" t="str">
        <f t="shared" ref="I4:I44" si="2">IF(G4&lt;&gt;"",+G4-G4/(1+H4/100),"")</f>
        <v/>
      </c>
      <c r="J4" s="361" t="str">
        <f t="shared" ref="J4:J44" si="3">IF(G4&lt;&gt;0,+G4-I4,"")</f>
        <v/>
      </c>
      <c r="K4" s="200">
        <v>1</v>
      </c>
      <c r="L4" s="133">
        <f>IF(B4&lt;$O$2,0,IF(B4&lt;$P$2,1,IF(B4&lt;$Q$2,2,IF(B4&lt;$R$2,3,IF(B4&lt;$S$2,4,IF(B4&lt;$T$2,5,IF(B4&lt;$U$2,6,IF(B4&lt;$V$2,7,IF(B4&lt;$W$2,8,IF(B4&lt;$X$2,9,IF(B4&lt;$Y$2,10,IF(B4&lt;$Z$2,11,IF(B4&lt;=$Z$3,12,0)))))))))))))</f>
        <v>0</v>
      </c>
      <c r="M4" s="135" t="s">
        <v>5</v>
      </c>
      <c r="N4" s="190">
        <f>+N10+AA12+AA16</f>
        <v>0</v>
      </c>
      <c r="O4" s="251" t="s">
        <v>36</v>
      </c>
      <c r="P4" s="251" t="s">
        <v>37</v>
      </c>
      <c r="Q4" s="251" t="s">
        <v>38</v>
      </c>
      <c r="R4" s="251" t="s">
        <v>39</v>
      </c>
      <c r="S4" s="251" t="s">
        <v>40</v>
      </c>
      <c r="T4" s="251" t="s">
        <v>41</v>
      </c>
      <c r="U4" s="251" t="s">
        <v>42</v>
      </c>
      <c r="V4" s="251" t="s">
        <v>43</v>
      </c>
      <c r="W4" s="251" t="s">
        <v>44</v>
      </c>
      <c r="X4" s="251" t="s">
        <v>45</v>
      </c>
      <c r="Y4" s="251" t="s">
        <v>46</v>
      </c>
      <c r="Z4" s="251" t="s">
        <v>47</v>
      </c>
      <c r="AA4" s="1209" t="s">
        <v>255</v>
      </c>
      <c r="AB4" s="1210"/>
    </row>
    <row r="5" spans="1:28" ht="13.35" customHeight="1">
      <c r="A5" s="50" t="s">
        <v>5</v>
      </c>
      <c r="B5" s="141"/>
      <c r="C5" s="80"/>
      <c r="D5" s="93"/>
      <c r="E5" s="226"/>
      <c r="F5" s="89"/>
      <c r="G5" s="81"/>
      <c r="H5" s="82"/>
      <c r="I5" s="83" t="str">
        <f t="shared" si="2"/>
        <v/>
      </c>
      <c r="J5" s="361" t="str">
        <f t="shared" si="3"/>
        <v/>
      </c>
      <c r="K5" s="200">
        <v>2</v>
      </c>
      <c r="L5" s="133">
        <f t="shared" ref="L5:L44" si="4">IF(B5&lt;$O$2,0,IF(B5&lt;$P$2,1,IF(B5&lt;$Q$2,2,IF(B5&lt;$R$2,3,IF(B5&lt;$S$2,4,IF(B5&lt;$T$2,5,IF(B5&lt;$U$2,6,IF(B5&lt;$V$2,7,IF(B5&lt;$W$2,8,IF(B5&lt;$X$2,9,IF(B5&lt;$Y$2,10,IF(B5&lt;$Z$2,11,IF(B5&lt;=$Z$3,12,0)))))))))))))</f>
        <v>0</v>
      </c>
      <c r="M5" s="135" t="s">
        <v>5</v>
      </c>
      <c r="O5" s="252">
        <f>SUMIFS($G$3:$G$47,$L$3:$L$47,1,$F$3:$F$47,"Konto")</f>
        <v>0</v>
      </c>
      <c r="P5" s="252">
        <f>SUMIFS($G$3:$G$47,$L$3:$L$47,2,$F$3:$F$47,"Konto")</f>
        <v>0</v>
      </c>
      <c r="Q5" s="252">
        <f>SUMIFS($G$3:$G$47,$L$3:$L$47,3,$F$3:$F$47,"Konto")</f>
        <v>0</v>
      </c>
      <c r="R5" s="252">
        <f>SUMIFS($G$3:$G$47,$L$3:$L$47,4,$F$3:$F$47,"Konto")</f>
        <v>0</v>
      </c>
      <c r="S5" s="252">
        <f>SUMIFS($G$3:$G$47,$L$3:$L$47,5,$F$3:$F$47,"Konto")</f>
        <v>0</v>
      </c>
      <c r="T5" s="252">
        <f>SUMIFS($G$3:$G$47,$L$3:$L$47,6,$F$3:$F$47,"Konto")</f>
        <v>0</v>
      </c>
      <c r="U5" s="252">
        <f>SUMIFS($G$3:$G$47,$L$3:$L$47,7,$F$3:$F$47,"Konto")</f>
        <v>0</v>
      </c>
      <c r="V5" s="252">
        <f>SUMIFS($G$3:$G$47,$L$3:$L$47,8,$F$3:$F$47,"Konto")</f>
        <v>0</v>
      </c>
      <c r="W5" s="252">
        <f>SUMIFS($G$3:$G$47,$L$3:$L$47,9,$F$3:$F$47,"Konto")</f>
        <v>0</v>
      </c>
      <c r="X5" s="252">
        <f>SUMIFS($G$3:$G$47,$L$3:$L$47,10,$F$3:$F$47,"Konto")</f>
        <v>0</v>
      </c>
      <c r="Y5" s="252">
        <f>SUMIFS($G$3:$G$47,$L$3:$L$47,11,$F$3:$F$47,"Konto")</f>
        <v>0</v>
      </c>
      <c r="Z5" s="252">
        <f>SUMIFS($G$3:$G$47,$L$3:$L$47,12,$F$3:$F$47,"Konto")</f>
        <v>0</v>
      </c>
      <c r="AA5" s="253">
        <f>SUM(O5:Z5)</f>
        <v>0</v>
      </c>
      <c r="AB5" s="254" t="s">
        <v>140</v>
      </c>
    </row>
    <row r="6" spans="1:28" ht="13.35" customHeight="1">
      <c r="A6" s="50" t="s">
        <v>5</v>
      </c>
      <c r="B6" s="141"/>
      <c r="C6" s="80"/>
      <c r="D6" s="93"/>
      <c r="E6" s="226"/>
      <c r="F6" s="89"/>
      <c r="G6" s="81"/>
      <c r="H6" s="82"/>
      <c r="I6" s="83" t="str">
        <f t="shared" si="2"/>
        <v/>
      </c>
      <c r="J6" s="361" t="str">
        <f t="shared" si="3"/>
        <v/>
      </c>
      <c r="K6" s="200">
        <v>3</v>
      </c>
      <c r="L6" s="133">
        <f t="shared" si="4"/>
        <v>0</v>
      </c>
      <c r="M6" s="135" t="s">
        <v>5</v>
      </c>
      <c r="N6" s="190"/>
      <c r="O6" s="252">
        <f>SUMIFS($G$3:$G$47,$L$3:$L$47,1,$F$3:$F$47,"Kreditkarte")</f>
        <v>0</v>
      </c>
      <c r="P6" s="252">
        <f>SUMIFS($G$3:$G$47,$L$3:$L$47,2,$F$3:$F$47,"Kreditkarte")</f>
        <v>0</v>
      </c>
      <c r="Q6" s="252">
        <f>SUMIFS($G$3:$G$47,$L$3:$L$47,3,$F$3:$F$47,"Kreditkarte")</f>
        <v>0</v>
      </c>
      <c r="R6" s="252">
        <f>SUMIFS($G$3:$G$47,$L$3:$L$47,4,$F$3:$F$47,"Kreditkarte")</f>
        <v>0</v>
      </c>
      <c r="S6" s="252">
        <f>SUMIFS($G$3:$G$47,$L$3:$L$47,5,$F$3:$F$47,"Kreditkarte")</f>
        <v>0</v>
      </c>
      <c r="T6" s="252">
        <f>SUMIFS($G$3:$G$47,$L$3:$L$47,6,$F$3:$F$47,"Kreditkarte")</f>
        <v>0</v>
      </c>
      <c r="U6" s="252">
        <f>SUMIFS($G$3:$G$47,$L$3:$L$47,7,$F$3:$F$47,"Kreditkarte")</f>
        <v>0</v>
      </c>
      <c r="V6" s="252">
        <f>SUMIFS($G$3:$G$47,$L$3:$L$47,8,$F$3:$F$47,"Kreditkarte")</f>
        <v>0</v>
      </c>
      <c r="W6" s="252">
        <f>SUMIFS($G$3:$G$47,$L$3:$L$47,9,$F$3:$F$47,"Kreditkarte")</f>
        <v>0</v>
      </c>
      <c r="X6" s="252">
        <f>SUMIFS($G$3:$G$47,$L$3:$L$47,10,$F$3:$F$47,"Kreditkarte")</f>
        <v>0</v>
      </c>
      <c r="Y6" s="252">
        <f>SUMIFS($G$3:$G$47,$L$3:$L$47,11,$F$3:$F$47,"Kreditkarte")</f>
        <v>0</v>
      </c>
      <c r="Z6" s="252">
        <f>SUMIFS($G$3:$G$47,$L$3:$L$47,12,$F$3:$F$47,"Kreditkarte")</f>
        <v>0</v>
      </c>
      <c r="AA6" s="255">
        <f t="shared" ref="AA6:AA8" si="5">SUM(O6:Z6)</f>
        <v>0</v>
      </c>
      <c r="AB6" s="256" t="s">
        <v>142</v>
      </c>
    </row>
    <row r="7" spans="1:28" ht="13.35" customHeight="1">
      <c r="A7" s="50" t="s">
        <v>5</v>
      </c>
      <c r="B7" s="141"/>
      <c r="C7" s="80"/>
      <c r="D7" s="93"/>
      <c r="E7" s="226"/>
      <c r="F7" s="89"/>
      <c r="G7" s="81"/>
      <c r="H7" s="82"/>
      <c r="I7" s="83" t="str">
        <f t="shared" si="2"/>
        <v/>
      </c>
      <c r="J7" s="361" t="str">
        <f t="shared" si="3"/>
        <v/>
      </c>
      <c r="K7" s="200">
        <v>4</v>
      </c>
      <c r="L7" s="133">
        <f t="shared" si="4"/>
        <v>0</v>
      </c>
      <c r="M7" s="135" t="s">
        <v>5</v>
      </c>
      <c r="O7" s="252">
        <f>SUMIFS($G$3:$G$47,$L$3:$L$47,1,$F$3:$F$47,"Geldbeutel")</f>
        <v>0</v>
      </c>
      <c r="P7" s="252">
        <f>SUMIFS($G$3:$G$47,$L$3:$L$47,2,$F$3:$F$47,"Geldbeutel")</f>
        <v>0</v>
      </c>
      <c r="Q7" s="252">
        <f>SUMIFS($G$3:$G$47,$L$3:$L$47,3,$F$3:$F$47,"Geldbeutel")</f>
        <v>0</v>
      </c>
      <c r="R7" s="252">
        <f>SUMIFS($G$3:$G$47,$L$3:$L$47,4,$F$3:$F$47,"Geldbeutel")</f>
        <v>0</v>
      </c>
      <c r="S7" s="252">
        <f>SUMIFS($G$3:$G$47,$L$3:$L$47,5,$F$3:$F$47,"Geldbeutel")</f>
        <v>0</v>
      </c>
      <c r="T7" s="252">
        <f>SUMIFS($G$3:$G$47,$L$3:$L$47,6,$F$3:$F$47,"Geldbeutel")</f>
        <v>0</v>
      </c>
      <c r="U7" s="252">
        <f>SUMIFS($G$3:$G$47,$L$3:$L$47,7,$F$3:$F$47,"Geldbeutel")</f>
        <v>0</v>
      </c>
      <c r="V7" s="252">
        <f>SUMIFS($G$3:$G$47,$L$3:$L$47,8,$F$3:$F$47,"Geldbeutel")</f>
        <v>0</v>
      </c>
      <c r="W7" s="252">
        <f>SUMIFS($G$3:$G$47,$L$3:$L$47,9,$F$3:$F$47,"Geldbeutel")</f>
        <v>0</v>
      </c>
      <c r="X7" s="252">
        <f>SUMIFS($G$3:$G$47,$L$3:$L$47,10,$F$3:$F$47,"Geldbeutel")</f>
        <v>0</v>
      </c>
      <c r="Y7" s="252">
        <f>SUMIFS($G$3:$G$47,$L$3:$L$47,11,$F$3:$F$47,"Geldbeutel")</f>
        <v>0</v>
      </c>
      <c r="Z7" s="252">
        <f>SUMIFS($G$3:$G$47,$L$3:$L$47,12,$F$3:$F$47,"Geldbeutel")</f>
        <v>0</v>
      </c>
      <c r="AA7" s="253">
        <f t="shared" si="5"/>
        <v>0</v>
      </c>
      <c r="AB7" s="254" t="s">
        <v>139</v>
      </c>
    </row>
    <row r="8" spans="1:28" ht="13.35" customHeight="1">
      <c r="A8" s="50" t="s">
        <v>5</v>
      </c>
      <c r="B8" s="141"/>
      <c r="C8" s="80"/>
      <c r="D8" s="93"/>
      <c r="E8" s="226"/>
      <c r="F8" s="89"/>
      <c r="G8" s="81"/>
      <c r="H8" s="82"/>
      <c r="I8" s="83" t="str">
        <f t="shared" si="2"/>
        <v/>
      </c>
      <c r="J8" s="361" t="str">
        <f t="shared" si="3"/>
        <v/>
      </c>
      <c r="K8" s="200">
        <v>5</v>
      </c>
      <c r="L8" s="133">
        <f t="shared" si="4"/>
        <v>0</v>
      </c>
      <c r="M8" s="135" t="s">
        <v>5</v>
      </c>
      <c r="O8" s="252">
        <f>SUMIFS($G$3:$G$47,$L$3:$L$47,1,$F$3:$F$47,"X")</f>
        <v>0</v>
      </c>
      <c r="P8" s="252">
        <f>SUMIFS($G$3:$G$47,$L$3:$L$47,2,$F$3:$F$47,"X")</f>
        <v>0</v>
      </c>
      <c r="Q8" s="252">
        <f>SUMIFS($G$3:$G$47,$L$3:$L$47,3,$F$3:$F$47,"X")</f>
        <v>0</v>
      </c>
      <c r="R8" s="252">
        <f>SUMIFS($G$3:$G$47,$L$3:$L$47,4,$F$3:$F$47,"X")</f>
        <v>0</v>
      </c>
      <c r="S8" s="252">
        <f>SUMIFS($G$3:$G$47,$L$3:$L$47,5,$F$3:$F$47,"X")</f>
        <v>0</v>
      </c>
      <c r="T8" s="252">
        <f>SUMIFS($G$3:$G$47,$L$3:$L$47,6,$F$3:$F$47,"X")</f>
        <v>0</v>
      </c>
      <c r="U8" s="252">
        <f>SUMIFS($G$3:$G$47,$L$3:$L$47,7,$F$3:$F$47,"X")</f>
        <v>0</v>
      </c>
      <c r="V8" s="252">
        <f>SUMIFS($G$3:$G$47,$L$3:$L$47,8,$F$3:$F$47,"X")</f>
        <v>0</v>
      </c>
      <c r="W8" s="252">
        <f>SUMIFS($G$3:$G$47,$L$3:$L$47,9,$F$3:$F$47,"X")</f>
        <v>0</v>
      </c>
      <c r="X8" s="252">
        <f>SUMIFS($G$3:$G$47,$L$3:$L$47,10,$F$3:$F$47,"X")</f>
        <v>0</v>
      </c>
      <c r="Y8" s="252">
        <f>SUMIFS($G$3:$G$47,$L$3:$L$47,11,$F$3:$F$47,"X")</f>
        <v>0</v>
      </c>
      <c r="Z8" s="252">
        <f>SUMIFS($G$3:$G$47,$L$3:$L$47,12,$F$3:$F$47,"X")</f>
        <v>0</v>
      </c>
      <c r="AA8" s="255">
        <f t="shared" si="5"/>
        <v>0</v>
      </c>
      <c r="AB8" s="256" t="s">
        <v>192</v>
      </c>
    </row>
    <row r="9" spans="1:28" ht="13.35" customHeight="1">
      <c r="A9" s="50" t="s">
        <v>5</v>
      </c>
      <c r="B9" s="141"/>
      <c r="C9" s="80"/>
      <c r="D9" s="93"/>
      <c r="E9" s="226"/>
      <c r="F9" s="89"/>
      <c r="G9" s="81"/>
      <c r="H9" s="82"/>
      <c r="I9" s="83" t="str">
        <f t="shared" si="2"/>
        <v/>
      </c>
      <c r="J9" s="361" t="str">
        <f t="shared" si="3"/>
        <v/>
      </c>
      <c r="K9" s="200">
        <v>6</v>
      </c>
      <c r="L9" s="133">
        <f t="shared" si="4"/>
        <v>0</v>
      </c>
      <c r="M9" s="135" t="s">
        <v>5</v>
      </c>
      <c r="N9" s="191">
        <f>IF(OR(AND(AA14&lt;&gt;0,B48="x"),(O14+AA13)&lt;&gt;H48),1,0)</f>
        <v>0</v>
      </c>
      <c r="O9" s="257">
        <f>SUM(O5:O8)</f>
        <v>0</v>
      </c>
      <c r="P9" s="257">
        <f t="shared" ref="P9:Z9" si="6">SUM(P5:P8)</f>
        <v>0</v>
      </c>
      <c r="Q9" s="257">
        <f t="shared" si="6"/>
        <v>0</v>
      </c>
      <c r="R9" s="257">
        <f t="shared" si="6"/>
        <v>0</v>
      </c>
      <c r="S9" s="257">
        <f t="shared" si="6"/>
        <v>0</v>
      </c>
      <c r="T9" s="257">
        <f t="shared" si="6"/>
        <v>0</v>
      </c>
      <c r="U9" s="257">
        <f t="shared" si="6"/>
        <v>0</v>
      </c>
      <c r="V9" s="257">
        <f t="shared" si="6"/>
        <v>0</v>
      </c>
      <c r="W9" s="257">
        <f t="shared" si="6"/>
        <v>0</v>
      </c>
      <c r="X9" s="257">
        <f t="shared" si="6"/>
        <v>0</v>
      </c>
      <c r="Y9" s="257">
        <f t="shared" si="6"/>
        <v>0</v>
      </c>
      <c r="Z9" s="257">
        <f t="shared" si="6"/>
        <v>0</v>
      </c>
      <c r="AA9" s="1211" t="s">
        <v>197</v>
      </c>
      <c r="AB9" s="1212"/>
    </row>
    <row r="10" spans="1:28" ht="13.35" customHeight="1">
      <c r="A10" s="50" t="s">
        <v>5</v>
      </c>
      <c r="B10" s="141"/>
      <c r="C10" s="80"/>
      <c r="D10" s="93"/>
      <c r="E10" s="226"/>
      <c r="F10" s="89"/>
      <c r="G10" s="81"/>
      <c r="H10" s="82"/>
      <c r="I10" s="83" t="str">
        <f t="shared" si="2"/>
        <v/>
      </c>
      <c r="J10" s="361" t="str">
        <f t="shared" si="3"/>
        <v/>
      </c>
      <c r="K10" s="200">
        <v>7</v>
      </c>
      <c r="L10" s="133">
        <f t="shared" si="4"/>
        <v>0</v>
      </c>
      <c r="M10" s="135" t="s">
        <v>5</v>
      </c>
      <c r="N10" s="259">
        <f>IF(O10+AA10&lt;&gt;G48,1,0)</f>
        <v>0</v>
      </c>
      <c r="O10" s="1230">
        <f>SUM(O5:Z8)</f>
        <v>0</v>
      </c>
      <c r="P10" s="1231"/>
      <c r="Q10" s="1231"/>
      <c r="R10" s="1231"/>
      <c r="S10" s="1231"/>
      <c r="T10" s="1231"/>
      <c r="U10" s="1231"/>
      <c r="V10" s="1231"/>
      <c r="W10" s="1231"/>
      <c r="X10" s="1231"/>
      <c r="Y10" s="1231"/>
      <c r="Z10" s="1232"/>
      <c r="AA10" s="292">
        <f>+G48-AA7-AA6-AA5-AA8</f>
        <v>0</v>
      </c>
      <c r="AB10" s="293" t="s">
        <v>205</v>
      </c>
    </row>
    <row r="11" spans="1:28" ht="13.35" customHeight="1">
      <c r="A11" s="50" t="s">
        <v>5</v>
      </c>
      <c r="B11" s="141"/>
      <c r="C11" s="80"/>
      <c r="D11" s="93"/>
      <c r="E11" s="226"/>
      <c r="F11" s="89"/>
      <c r="G11" s="81"/>
      <c r="H11" s="82"/>
      <c r="I11" s="83" t="str">
        <f t="shared" si="2"/>
        <v/>
      </c>
      <c r="J11" s="361" t="str">
        <f t="shared" si="3"/>
        <v/>
      </c>
      <c r="K11" s="200">
        <v>8</v>
      </c>
      <c r="L11" s="133">
        <f t="shared" si="4"/>
        <v>0</v>
      </c>
      <c r="M11" s="135" t="s">
        <v>5</v>
      </c>
      <c r="O11" s="1219" t="str">
        <f>IF(N4&gt;0,"Fehler!","")</f>
        <v/>
      </c>
      <c r="P11" s="1219"/>
      <c r="Q11" s="1219"/>
      <c r="R11" s="1219"/>
      <c r="S11" s="1219"/>
      <c r="T11" s="1219"/>
      <c r="U11" s="1219"/>
      <c r="V11" s="1219"/>
      <c r="W11" s="1219"/>
      <c r="X11" s="1219"/>
      <c r="Y11" s="1219"/>
      <c r="Z11" s="1219"/>
    </row>
    <row r="12" spans="1:28" ht="13.35" customHeight="1">
      <c r="A12" s="50" t="s">
        <v>5</v>
      </c>
      <c r="B12" s="141"/>
      <c r="C12" s="80"/>
      <c r="D12" s="93"/>
      <c r="E12" s="226"/>
      <c r="F12" s="89"/>
      <c r="G12" s="81"/>
      <c r="H12" s="82"/>
      <c r="I12" s="83" t="str">
        <f t="shared" si="2"/>
        <v/>
      </c>
      <c r="J12" s="361" t="str">
        <f t="shared" si="3"/>
        <v/>
      </c>
      <c r="K12" s="200">
        <v>9</v>
      </c>
      <c r="L12" s="133">
        <f t="shared" si="4"/>
        <v>0</v>
      </c>
      <c r="M12" s="135" t="s">
        <v>5</v>
      </c>
      <c r="O12" s="203" t="s">
        <v>36</v>
      </c>
      <c r="P12" s="203" t="s">
        <v>37</v>
      </c>
      <c r="Q12" s="203" t="s">
        <v>38</v>
      </c>
      <c r="R12" s="203" t="s">
        <v>39</v>
      </c>
      <c r="S12" s="203" t="s">
        <v>40</v>
      </c>
      <c r="T12" s="203" t="s">
        <v>41</v>
      </c>
      <c r="U12" s="203" t="s">
        <v>42</v>
      </c>
      <c r="V12" s="203" t="s">
        <v>43</v>
      </c>
      <c r="W12" s="203" t="s">
        <v>44</v>
      </c>
      <c r="X12" s="203" t="s">
        <v>45</v>
      </c>
      <c r="Y12" s="203" t="s">
        <v>46</v>
      </c>
      <c r="Z12" s="203" t="s">
        <v>47</v>
      </c>
      <c r="AA12" s="221">
        <f>IF(O14+AA13&lt;&gt;H48,1,0)</f>
        <v>0</v>
      </c>
    </row>
    <row r="13" spans="1:28" ht="13.35" customHeight="1">
      <c r="A13" s="50" t="s">
        <v>5</v>
      </c>
      <c r="B13" s="141"/>
      <c r="C13" s="80"/>
      <c r="D13" s="93"/>
      <c r="E13" s="226"/>
      <c r="F13" s="89"/>
      <c r="G13" s="81"/>
      <c r="H13" s="82"/>
      <c r="I13" s="83" t="str">
        <f t="shared" si="2"/>
        <v/>
      </c>
      <c r="J13" s="361" t="str">
        <f t="shared" si="3"/>
        <v/>
      </c>
      <c r="K13" s="200">
        <v>10</v>
      </c>
      <c r="L13" s="133">
        <f t="shared" si="4"/>
        <v>0</v>
      </c>
      <c r="M13" s="135" t="s">
        <v>5</v>
      </c>
      <c r="O13" s="187">
        <f>SUMIF($L$3:$L$47,1,$I$3:$I$47)</f>
        <v>0</v>
      </c>
      <c r="P13" s="187">
        <f>SUMIF($L$3:$L$47,2,$I$3:$I$47)</f>
        <v>0</v>
      </c>
      <c r="Q13" s="187">
        <f>SUMIF($L$3:$L$47,3,$I$3:$I$47)</f>
        <v>0</v>
      </c>
      <c r="R13" s="187">
        <f>SUMIF($L$3:$L$47,4,$I$3:$I$47)</f>
        <v>0</v>
      </c>
      <c r="S13" s="187">
        <f>SUMIF($L$3:$L$47,5,$I$3:$I$47)</f>
        <v>0</v>
      </c>
      <c r="T13" s="187">
        <f>SUMIF($L$3:$L$47,6,$I$3:$I$47)</f>
        <v>0</v>
      </c>
      <c r="U13" s="187">
        <f>SUMIF($L$3:$L$47,7,$I$3:$I$47)</f>
        <v>0</v>
      </c>
      <c r="V13" s="187">
        <f>SUMIF($L$3:$L$47,8,$I$3:$I$47)</f>
        <v>0</v>
      </c>
      <c r="W13" s="187">
        <f>SUMIF($L$3:$L$47,9,$I$3:$I$47)</f>
        <v>0</v>
      </c>
      <c r="X13" s="187">
        <f>SUMIF($L$3:$L$47,10,$I$3:$I$47)</f>
        <v>0</v>
      </c>
      <c r="Y13" s="187">
        <f>SUMIF($L$3:$L$47,11,$I$3:$I$47)</f>
        <v>0</v>
      </c>
      <c r="Z13" s="187">
        <f>SUMIF($L$3:$L$47,12,$I$3:$I$47)</f>
        <v>0</v>
      </c>
      <c r="AA13" s="1220">
        <f>SUMIF($L$3:$L$47,0,$I$3:$I$47)</f>
        <v>0</v>
      </c>
      <c r="AB13" s="1221"/>
    </row>
    <row r="14" spans="1:28" ht="13.35" customHeight="1">
      <c r="A14" s="50" t="s">
        <v>5</v>
      </c>
      <c r="B14" s="141"/>
      <c r="C14" s="80"/>
      <c r="D14" s="93"/>
      <c r="E14" s="226"/>
      <c r="F14" s="89"/>
      <c r="G14" s="81"/>
      <c r="H14" s="82"/>
      <c r="I14" s="83" t="str">
        <f t="shared" si="2"/>
        <v/>
      </c>
      <c r="J14" s="361" t="str">
        <f t="shared" si="3"/>
        <v/>
      </c>
      <c r="K14" s="200">
        <v>11</v>
      </c>
      <c r="L14" s="133">
        <f t="shared" si="4"/>
        <v>0</v>
      </c>
      <c r="M14" s="135" t="s">
        <v>5</v>
      </c>
      <c r="O14" s="1299">
        <f>SUM(O13:Z13)</f>
        <v>0</v>
      </c>
      <c r="P14" s="1300"/>
      <c r="Q14" s="1300"/>
      <c r="R14" s="1300"/>
      <c r="S14" s="1300"/>
      <c r="T14" s="1300"/>
      <c r="U14" s="1300"/>
      <c r="V14" s="1300"/>
      <c r="W14" s="1300"/>
      <c r="X14" s="1300"/>
      <c r="Y14" s="1300"/>
      <c r="Z14" s="1301"/>
      <c r="AA14" s="1222">
        <f>SUM(O13:Z13)+AA13</f>
        <v>0</v>
      </c>
      <c r="AB14" s="1223"/>
    </row>
    <row r="15" spans="1:28" ht="13.35" customHeight="1">
      <c r="A15" s="50" t="s">
        <v>5</v>
      </c>
      <c r="B15" s="141"/>
      <c r="C15" s="260"/>
      <c r="D15" s="93"/>
      <c r="E15" s="226"/>
      <c r="F15" s="89"/>
      <c r="G15" s="81"/>
      <c r="H15" s="82"/>
      <c r="I15" s="83" t="str">
        <f t="shared" si="2"/>
        <v/>
      </c>
      <c r="J15" s="361" t="str">
        <f t="shared" si="3"/>
        <v/>
      </c>
      <c r="K15" s="200">
        <v>12</v>
      </c>
      <c r="L15" s="133">
        <f t="shared" si="4"/>
        <v>0</v>
      </c>
      <c r="M15" s="135" t="s">
        <v>5</v>
      </c>
      <c r="O15" s="244"/>
      <c r="P15" s="244"/>
      <c r="Q15" s="244"/>
      <c r="R15" s="244"/>
      <c r="S15" s="244"/>
      <c r="T15" s="244"/>
      <c r="U15" s="244"/>
      <c r="V15" s="244"/>
      <c r="W15" s="244"/>
      <c r="X15" s="244"/>
      <c r="Y15" s="244"/>
      <c r="Z15" s="244"/>
      <c r="AA15" s="244"/>
      <c r="AB15" s="244"/>
    </row>
    <row r="16" spans="1:28" ht="13.35" customHeight="1">
      <c r="A16" s="50" t="s">
        <v>5</v>
      </c>
      <c r="B16" s="141"/>
      <c r="C16" s="80"/>
      <c r="D16" s="93"/>
      <c r="E16" s="226"/>
      <c r="F16" s="89"/>
      <c r="G16" s="81"/>
      <c r="H16" s="82"/>
      <c r="I16" s="83" t="str">
        <f t="shared" si="2"/>
        <v/>
      </c>
      <c r="J16" s="361" t="str">
        <f t="shared" si="3"/>
        <v/>
      </c>
      <c r="K16" s="200">
        <v>13</v>
      </c>
      <c r="L16" s="133">
        <f t="shared" si="4"/>
        <v>0</v>
      </c>
      <c r="M16" s="135" t="s">
        <v>5</v>
      </c>
      <c r="O16" s="244"/>
      <c r="P16" s="244"/>
      <c r="Q16" s="244"/>
      <c r="R16" s="244"/>
      <c r="S16" s="244"/>
      <c r="T16" s="244"/>
      <c r="U16" s="244"/>
      <c r="V16" s="244"/>
      <c r="W16" s="244"/>
      <c r="X16" s="244"/>
      <c r="Y16" s="244"/>
      <c r="Z16" s="244"/>
      <c r="AA16" s="244"/>
      <c r="AB16" s="244"/>
    </row>
    <row r="17" spans="1:28" ht="13.35" customHeight="1">
      <c r="A17" s="50" t="s">
        <v>5</v>
      </c>
      <c r="B17" s="141"/>
      <c r="C17" s="80"/>
      <c r="D17" s="93"/>
      <c r="E17" s="226"/>
      <c r="F17" s="89"/>
      <c r="G17" s="81"/>
      <c r="H17" s="82"/>
      <c r="I17" s="83" t="str">
        <f t="shared" si="2"/>
        <v/>
      </c>
      <c r="J17" s="361" t="str">
        <f t="shared" si="3"/>
        <v/>
      </c>
      <c r="K17" s="200">
        <v>14</v>
      </c>
      <c r="L17" s="133">
        <f t="shared" si="4"/>
        <v>0</v>
      </c>
      <c r="M17" s="135" t="s">
        <v>5</v>
      </c>
      <c r="O17" s="244"/>
      <c r="P17" s="244"/>
      <c r="Q17" s="244"/>
      <c r="R17" s="244"/>
      <c r="S17" s="244"/>
      <c r="T17" s="244"/>
      <c r="U17" s="244"/>
      <c r="V17" s="244"/>
      <c r="W17" s="244"/>
      <c r="X17" s="244"/>
      <c r="Y17" s="244"/>
      <c r="Z17" s="244"/>
      <c r="AA17" s="244"/>
      <c r="AB17" s="244"/>
    </row>
    <row r="18" spans="1:28" ht="13.35" customHeight="1">
      <c r="A18" s="50" t="s">
        <v>5</v>
      </c>
      <c r="B18" s="141"/>
      <c r="C18" s="80"/>
      <c r="D18" s="93"/>
      <c r="E18" s="226"/>
      <c r="F18" s="89"/>
      <c r="G18" s="81"/>
      <c r="H18" s="82"/>
      <c r="I18" s="83" t="str">
        <f t="shared" si="2"/>
        <v/>
      </c>
      <c r="J18" s="361" t="str">
        <f t="shared" si="3"/>
        <v/>
      </c>
      <c r="K18" s="200">
        <v>15</v>
      </c>
      <c r="L18" s="133">
        <f t="shared" si="4"/>
        <v>0</v>
      </c>
      <c r="M18" s="135" t="s">
        <v>5</v>
      </c>
      <c r="O18" s="244"/>
      <c r="P18" s="244"/>
      <c r="Q18" s="244"/>
      <c r="R18" s="244"/>
      <c r="S18" s="244"/>
      <c r="T18" s="244"/>
      <c r="U18" s="244"/>
      <c r="V18" s="244"/>
      <c r="W18" s="244"/>
      <c r="X18" s="244"/>
      <c r="Y18" s="244"/>
      <c r="Z18" s="244"/>
      <c r="AA18" s="244"/>
      <c r="AB18" s="244"/>
    </row>
    <row r="19" spans="1:28" ht="13.35" customHeight="1">
      <c r="A19" s="50" t="s">
        <v>5</v>
      </c>
      <c r="B19" s="141"/>
      <c r="C19" s="80"/>
      <c r="D19" s="93"/>
      <c r="E19" s="226"/>
      <c r="F19" s="89"/>
      <c r="G19" s="81"/>
      <c r="H19" s="82"/>
      <c r="I19" s="83" t="str">
        <f t="shared" si="2"/>
        <v/>
      </c>
      <c r="J19" s="361" t="str">
        <f t="shared" si="3"/>
        <v/>
      </c>
      <c r="K19" s="200">
        <v>16</v>
      </c>
      <c r="L19" s="133">
        <f t="shared" si="4"/>
        <v>0</v>
      </c>
      <c r="M19" s="135" t="s">
        <v>5</v>
      </c>
      <c r="O19" s="244"/>
      <c r="P19" s="244"/>
      <c r="Q19" s="244"/>
      <c r="R19" s="244"/>
      <c r="S19" s="244"/>
      <c r="T19" s="244"/>
      <c r="U19" s="244"/>
      <c r="V19" s="244"/>
      <c r="W19" s="244"/>
      <c r="X19" s="244"/>
      <c r="Y19" s="244"/>
      <c r="Z19" s="244"/>
      <c r="AA19" s="244"/>
      <c r="AB19" s="244"/>
    </row>
    <row r="20" spans="1:28" ht="13.35" customHeight="1">
      <c r="A20" s="50" t="s">
        <v>5</v>
      </c>
      <c r="B20" s="141"/>
      <c r="C20" s="80"/>
      <c r="D20" s="93"/>
      <c r="E20" s="226"/>
      <c r="F20" s="89"/>
      <c r="G20" s="81"/>
      <c r="H20" s="82"/>
      <c r="I20" s="83" t="str">
        <f t="shared" si="2"/>
        <v/>
      </c>
      <c r="J20" s="361" t="str">
        <f t="shared" si="3"/>
        <v/>
      </c>
      <c r="K20" s="200">
        <v>17</v>
      </c>
      <c r="L20" s="133">
        <f t="shared" si="4"/>
        <v>0</v>
      </c>
      <c r="M20" s="135" t="s">
        <v>5</v>
      </c>
      <c r="O20" s="244"/>
      <c r="P20" s="244"/>
      <c r="Q20" s="244"/>
      <c r="R20" s="244"/>
      <c r="S20" s="244"/>
      <c r="T20" s="244"/>
      <c r="U20" s="244"/>
      <c r="V20" s="244"/>
      <c r="W20" s="244"/>
      <c r="X20" s="244"/>
      <c r="Y20" s="244"/>
      <c r="Z20" s="244"/>
      <c r="AA20" s="244"/>
      <c r="AB20" s="244"/>
    </row>
    <row r="21" spans="1:28" ht="13.35" customHeight="1">
      <c r="A21" s="50" t="s">
        <v>5</v>
      </c>
      <c r="B21" s="141"/>
      <c r="C21" s="80"/>
      <c r="D21" s="93"/>
      <c r="E21" s="226"/>
      <c r="F21" s="89"/>
      <c r="G21" s="81"/>
      <c r="H21" s="82"/>
      <c r="I21" s="83" t="str">
        <f t="shared" si="2"/>
        <v/>
      </c>
      <c r="J21" s="361" t="str">
        <f t="shared" si="3"/>
        <v/>
      </c>
      <c r="K21" s="200">
        <v>18</v>
      </c>
      <c r="L21" s="133">
        <f t="shared" si="4"/>
        <v>0</v>
      </c>
      <c r="M21" s="135" t="s">
        <v>5</v>
      </c>
      <c r="O21" s="244"/>
      <c r="P21" s="244"/>
      <c r="Q21" s="244"/>
      <c r="R21" s="244"/>
      <c r="S21" s="244"/>
      <c r="T21" s="244"/>
      <c r="U21" s="244"/>
      <c r="V21" s="244"/>
      <c r="W21" s="244"/>
      <c r="X21" s="244"/>
      <c r="Y21" s="244"/>
      <c r="Z21" s="244"/>
      <c r="AA21" s="244"/>
      <c r="AB21" s="244"/>
    </row>
    <row r="22" spans="1:28" ht="13.35" customHeight="1">
      <c r="A22" s="50" t="s">
        <v>5</v>
      </c>
      <c r="B22" s="141"/>
      <c r="C22" s="80"/>
      <c r="D22" s="93"/>
      <c r="E22" s="226"/>
      <c r="F22" s="89"/>
      <c r="G22" s="81"/>
      <c r="H22" s="82"/>
      <c r="I22" s="83" t="str">
        <f t="shared" si="2"/>
        <v/>
      </c>
      <c r="J22" s="361" t="str">
        <f t="shared" si="3"/>
        <v/>
      </c>
      <c r="K22" s="200">
        <v>19</v>
      </c>
      <c r="L22" s="133">
        <f t="shared" si="4"/>
        <v>0</v>
      </c>
      <c r="M22" s="135" t="s">
        <v>5</v>
      </c>
      <c r="O22" s="244"/>
      <c r="P22" s="244"/>
      <c r="Q22" s="244"/>
      <c r="R22" s="244"/>
      <c r="S22" s="244"/>
      <c r="T22" s="244"/>
      <c r="U22" s="244"/>
      <c r="V22" s="244"/>
      <c r="W22" s="244"/>
      <c r="X22" s="244"/>
      <c r="Y22" s="244"/>
      <c r="Z22" s="244"/>
      <c r="AA22" s="244"/>
      <c r="AB22" s="244"/>
    </row>
    <row r="23" spans="1:28" ht="13.35" customHeight="1">
      <c r="A23" s="50" t="s">
        <v>5</v>
      </c>
      <c r="B23" s="141"/>
      <c r="C23" s="80"/>
      <c r="D23" s="94"/>
      <c r="E23" s="226"/>
      <c r="F23" s="89"/>
      <c r="G23" s="81"/>
      <c r="H23" s="82"/>
      <c r="I23" s="83" t="str">
        <f t="shared" si="2"/>
        <v/>
      </c>
      <c r="J23" s="361" t="str">
        <f t="shared" si="3"/>
        <v/>
      </c>
      <c r="K23" s="200">
        <v>20</v>
      </c>
      <c r="L23" s="133">
        <f t="shared" si="4"/>
        <v>0</v>
      </c>
      <c r="M23" s="135" t="s">
        <v>5</v>
      </c>
      <c r="O23" s="244"/>
      <c r="P23" s="244"/>
      <c r="Q23" s="244"/>
      <c r="R23" s="244"/>
      <c r="S23" s="244"/>
      <c r="T23" s="244"/>
      <c r="U23" s="244"/>
      <c r="V23" s="244"/>
      <c r="W23" s="244"/>
      <c r="X23" s="244"/>
      <c r="Y23" s="244"/>
      <c r="Z23" s="244"/>
      <c r="AA23" s="244"/>
      <c r="AB23" s="244"/>
    </row>
    <row r="24" spans="1:28" ht="13.35" customHeight="1">
      <c r="A24" s="50" t="s">
        <v>5</v>
      </c>
      <c r="B24" s="141"/>
      <c r="C24" s="80"/>
      <c r="D24" s="93"/>
      <c r="E24" s="226"/>
      <c r="F24" s="89"/>
      <c r="G24" s="81"/>
      <c r="H24" s="82"/>
      <c r="I24" s="83" t="str">
        <f t="shared" si="2"/>
        <v/>
      </c>
      <c r="J24" s="361" t="str">
        <f t="shared" si="3"/>
        <v/>
      </c>
      <c r="K24" s="200">
        <v>21</v>
      </c>
      <c r="L24" s="133">
        <f t="shared" si="4"/>
        <v>0</v>
      </c>
      <c r="M24" s="135" t="s">
        <v>5</v>
      </c>
      <c r="O24" s="244"/>
      <c r="P24" s="244"/>
      <c r="Q24" s="244"/>
      <c r="R24" s="244"/>
      <c r="S24" s="244"/>
      <c r="T24" s="244"/>
      <c r="U24" s="244"/>
      <c r="V24" s="244"/>
      <c r="W24" s="244"/>
      <c r="X24" s="244"/>
      <c r="Y24" s="244"/>
      <c r="Z24" s="244"/>
      <c r="AA24" s="244"/>
      <c r="AB24" s="244"/>
    </row>
    <row r="25" spans="1:28" ht="13.35" customHeight="1">
      <c r="A25" s="50" t="s">
        <v>5</v>
      </c>
      <c r="B25" s="141"/>
      <c r="C25" s="80"/>
      <c r="D25" s="93"/>
      <c r="E25" s="226"/>
      <c r="F25" s="89"/>
      <c r="G25" s="81"/>
      <c r="H25" s="82"/>
      <c r="I25" s="83" t="str">
        <f t="shared" si="2"/>
        <v/>
      </c>
      <c r="J25" s="361" t="str">
        <f t="shared" si="3"/>
        <v/>
      </c>
      <c r="K25" s="200">
        <v>22</v>
      </c>
      <c r="L25" s="133">
        <f t="shared" si="4"/>
        <v>0</v>
      </c>
      <c r="M25" s="135" t="s">
        <v>5</v>
      </c>
      <c r="O25" s="244"/>
      <c r="P25" s="244"/>
      <c r="Q25" s="244"/>
      <c r="R25" s="244"/>
      <c r="S25" s="244"/>
      <c r="T25" s="244"/>
      <c r="U25" s="244"/>
      <c r="V25" s="244"/>
      <c r="W25" s="244"/>
      <c r="X25" s="244"/>
      <c r="Y25" s="244"/>
      <c r="Z25" s="244"/>
      <c r="AA25" s="244"/>
      <c r="AB25" s="244"/>
    </row>
    <row r="26" spans="1:28" ht="13.35" customHeight="1">
      <c r="A26" s="50" t="s">
        <v>5</v>
      </c>
      <c r="B26" s="141"/>
      <c r="C26" s="80"/>
      <c r="D26" s="93"/>
      <c r="E26" s="226"/>
      <c r="F26" s="89"/>
      <c r="G26" s="81"/>
      <c r="H26" s="82"/>
      <c r="I26" s="83" t="str">
        <f t="shared" si="2"/>
        <v/>
      </c>
      <c r="J26" s="361" t="str">
        <f t="shared" si="3"/>
        <v/>
      </c>
      <c r="K26" s="200">
        <v>23</v>
      </c>
      <c r="L26" s="133">
        <f t="shared" si="4"/>
        <v>0</v>
      </c>
      <c r="M26" s="135" t="s">
        <v>5</v>
      </c>
      <c r="O26" s="244"/>
      <c r="P26" s="244"/>
      <c r="Q26" s="244"/>
      <c r="R26" s="244"/>
      <c r="S26" s="244"/>
      <c r="T26" s="244"/>
      <c r="U26" s="244"/>
      <c r="V26" s="244"/>
      <c r="W26" s="244"/>
      <c r="X26" s="244"/>
      <c r="Y26" s="244"/>
      <c r="Z26" s="244"/>
      <c r="AA26" s="244"/>
      <c r="AB26" s="244"/>
    </row>
    <row r="27" spans="1:28" ht="13.35" customHeight="1">
      <c r="A27" s="50" t="s">
        <v>5</v>
      </c>
      <c r="B27" s="141"/>
      <c r="C27" s="80"/>
      <c r="D27" s="93"/>
      <c r="E27" s="226"/>
      <c r="F27" s="89"/>
      <c r="G27" s="81"/>
      <c r="H27" s="82"/>
      <c r="I27" s="83" t="str">
        <f t="shared" si="2"/>
        <v/>
      </c>
      <c r="J27" s="361" t="str">
        <f t="shared" si="3"/>
        <v/>
      </c>
      <c r="K27" s="200">
        <v>24</v>
      </c>
      <c r="L27" s="133">
        <f t="shared" si="4"/>
        <v>0</v>
      </c>
      <c r="M27" s="135" t="s">
        <v>5</v>
      </c>
      <c r="O27" s="244"/>
      <c r="P27" s="244"/>
      <c r="Q27" s="244"/>
      <c r="R27" s="244"/>
      <c r="S27" s="244"/>
      <c r="T27" s="244"/>
      <c r="U27" s="244"/>
      <c r="V27" s="244"/>
      <c r="W27" s="244"/>
      <c r="X27" s="244"/>
      <c r="Y27" s="244"/>
      <c r="Z27" s="244"/>
      <c r="AA27" s="244"/>
      <c r="AB27" s="244"/>
    </row>
    <row r="28" spans="1:28" ht="13.35" customHeight="1">
      <c r="A28" s="50" t="s">
        <v>5</v>
      </c>
      <c r="B28" s="141"/>
      <c r="C28" s="80"/>
      <c r="D28" s="93"/>
      <c r="E28" s="226"/>
      <c r="F28" s="89"/>
      <c r="G28" s="81"/>
      <c r="H28" s="82"/>
      <c r="I28" s="83" t="str">
        <f t="shared" si="2"/>
        <v/>
      </c>
      <c r="J28" s="361" t="str">
        <f t="shared" si="3"/>
        <v/>
      </c>
      <c r="K28" s="200">
        <v>25</v>
      </c>
      <c r="L28" s="133">
        <f t="shared" si="4"/>
        <v>0</v>
      </c>
      <c r="M28" s="135" t="s">
        <v>5</v>
      </c>
      <c r="O28" s="244"/>
      <c r="P28" s="244"/>
      <c r="Q28" s="244"/>
      <c r="R28" s="244"/>
      <c r="S28" s="244"/>
      <c r="T28" s="244"/>
      <c r="U28" s="244"/>
      <c r="V28" s="244"/>
      <c r="W28" s="244"/>
      <c r="X28" s="244"/>
      <c r="Y28" s="244"/>
      <c r="Z28" s="244"/>
      <c r="AA28" s="244"/>
      <c r="AB28" s="244"/>
    </row>
    <row r="29" spans="1:28" ht="13.35" customHeight="1">
      <c r="A29" s="50" t="s">
        <v>5</v>
      </c>
      <c r="B29" s="141"/>
      <c r="C29" s="80"/>
      <c r="D29" s="93"/>
      <c r="E29" s="226"/>
      <c r="F29" s="89"/>
      <c r="G29" s="81"/>
      <c r="H29" s="82"/>
      <c r="I29" s="83" t="str">
        <f t="shared" si="2"/>
        <v/>
      </c>
      <c r="J29" s="361" t="str">
        <f t="shared" si="3"/>
        <v/>
      </c>
      <c r="K29" s="200">
        <v>26</v>
      </c>
      <c r="L29" s="133">
        <f t="shared" si="4"/>
        <v>0</v>
      </c>
      <c r="M29" s="135" t="s">
        <v>5</v>
      </c>
      <c r="O29" s="244"/>
      <c r="P29" s="244"/>
      <c r="Q29" s="244"/>
      <c r="R29" s="244"/>
      <c r="S29" s="244"/>
      <c r="T29" s="244"/>
      <c r="U29" s="244"/>
      <c r="V29" s="244"/>
      <c r="W29" s="244"/>
      <c r="X29" s="244"/>
      <c r="Y29" s="244"/>
      <c r="Z29" s="244"/>
      <c r="AA29" s="244"/>
      <c r="AB29" s="244"/>
    </row>
    <row r="30" spans="1:28" ht="13.35" customHeight="1">
      <c r="A30" s="50" t="s">
        <v>5</v>
      </c>
      <c r="B30" s="141"/>
      <c r="C30" s="80"/>
      <c r="D30" s="93"/>
      <c r="E30" s="226"/>
      <c r="F30" s="89"/>
      <c r="G30" s="81"/>
      <c r="H30" s="82"/>
      <c r="I30" s="83" t="str">
        <f t="shared" si="2"/>
        <v/>
      </c>
      <c r="J30" s="361" t="str">
        <f t="shared" si="3"/>
        <v/>
      </c>
      <c r="K30" s="200">
        <v>27</v>
      </c>
      <c r="L30" s="133">
        <f t="shared" si="4"/>
        <v>0</v>
      </c>
      <c r="M30" s="135" t="s">
        <v>5</v>
      </c>
      <c r="O30" s="244"/>
      <c r="P30" s="244"/>
      <c r="Q30" s="244"/>
      <c r="R30" s="244"/>
      <c r="S30" s="244"/>
      <c r="T30" s="244"/>
      <c r="U30" s="244"/>
      <c r="V30" s="244"/>
      <c r="W30" s="244"/>
      <c r="X30" s="244"/>
      <c r="Y30" s="244"/>
      <c r="Z30" s="244"/>
      <c r="AA30" s="244"/>
      <c r="AB30" s="244"/>
    </row>
    <row r="31" spans="1:28" ht="13.35" customHeight="1">
      <c r="A31" s="50" t="s">
        <v>5</v>
      </c>
      <c r="B31" s="141"/>
      <c r="C31" s="80"/>
      <c r="D31" s="93"/>
      <c r="E31" s="226"/>
      <c r="F31" s="89"/>
      <c r="G31" s="81"/>
      <c r="H31" s="82"/>
      <c r="I31" s="83" t="str">
        <f t="shared" si="2"/>
        <v/>
      </c>
      <c r="J31" s="361" t="str">
        <f t="shared" si="3"/>
        <v/>
      </c>
      <c r="K31" s="200">
        <v>28</v>
      </c>
      <c r="L31" s="133">
        <f t="shared" si="4"/>
        <v>0</v>
      </c>
      <c r="M31" s="135" t="s">
        <v>5</v>
      </c>
      <c r="O31" s="244"/>
      <c r="P31" s="244"/>
      <c r="Q31" s="244"/>
      <c r="R31" s="244"/>
      <c r="S31" s="244"/>
      <c r="T31" s="244"/>
      <c r="U31" s="244"/>
      <c r="V31" s="244"/>
      <c r="W31" s="244"/>
      <c r="X31" s="244"/>
      <c r="Y31" s="244"/>
      <c r="Z31" s="244"/>
      <c r="AA31" s="244"/>
      <c r="AB31" s="244"/>
    </row>
    <row r="32" spans="1:28" ht="13.35" customHeight="1">
      <c r="A32" s="50" t="s">
        <v>5</v>
      </c>
      <c r="B32" s="141"/>
      <c r="C32" s="80"/>
      <c r="D32" s="93"/>
      <c r="E32" s="226"/>
      <c r="F32" s="89"/>
      <c r="G32" s="81"/>
      <c r="H32" s="82"/>
      <c r="I32" s="83" t="str">
        <f t="shared" si="2"/>
        <v/>
      </c>
      <c r="J32" s="361" t="str">
        <f t="shared" si="3"/>
        <v/>
      </c>
      <c r="K32" s="200">
        <v>29</v>
      </c>
      <c r="L32" s="133">
        <f t="shared" si="4"/>
        <v>0</v>
      </c>
      <c r="M32" s="135" t="s">
        <v>5</v>
      </c>
      <c r="O32" s="244"/>
      <c r="P32" s="244"/>
      <c r="Q32" s="244"/>
      <c r="R32" s="244"/>
      <c r="S32" s="244"/>
      <c r="T32" s="244"/>
      <c r="U32" s="244"/>
      <c r="V32" s="244"/>
      <c r="W32" s="244"/>
      <c r="X32" s="244"/>
      <c r="Y32" s="244"/>
      <c r="Z32" s="244"/>
      <c r="AA32" s="244"/>
      <c r="AB32" s="244"/>
    </row>
    <row r="33" spans="1:28" ht="13.35" customHeight="1">
      <c r="A33" s="50" t="s">
        <v>5</v>
      </c>
      <c r="B33" s="141"/>
      <c r="C33" s="80"/>
      <c r="D33" s="93"/>
      <c r="E33" s="226"/>
      <c r="F33" s="89"/>
      <c r="G33" s="81"/>
      <c r="H33" s="82"/>
      <c r="I33" s="83" t="str">
        <f t="shared" si="2"/>
        <v/>
      </c>
      <c r="J33" s="361" t="str">
        <f t="shared" si="3"/>
        <v/>
      </c>
      <c r="K33" s="200">
        <v>30</v>
      </c>
      <c r="L33" s="133">
        <f t="shared" si="4"/>
        <v>0</v>
      </c>
      <c r="M33" s="135" t="s">
        <v>5</v>
      </c>
      <c r="O33" s="244"/>
      <c r="P33" s="244"/>
      <c r="Q33" s="244"/>
      <c r="R33" s="244"/>
      <c r="S33" s="244"/>
      <c r="T33" s="244"/>
      <c r="U33" s="244"/>
      <c r="V33" s="244"/>
      <c r="W33" s="244"/>
      <c r="X33" s="244"/>
      <c r="Y33" s="244"/>
      <c r="Z33" s="244"/>
      <c r="AA33" s="244"/>
      <c r="AB33" s="244"/>
    </row>
    <row r="34" spans="1:28" ht="13.35" customHeight="1">
      <c r="A34" s="50" t="s">
        <v>5</v>
      </c>
      <c r="B34" s="141"/>
      <c r="C34" s="80"/>
      <c r="D34" s="93"/>
      <c r="E34" s="226"/>
      <c r="F34" s="89"/>
      <c r="G34" s="81"/>
      <c r="H34" s="82"/>
      <c r="I34" s="83" t="str">
        <f t="shared" si="2"/>
        <v/>
      </c>
      <c r="J34" s="361" t="str">
        <f t="shared" si="3"/>
        <v/>
      </c>
      <c r="K34" s="200">
        <v>31</v>
      </c>
      <c r="L34" s="133">
        <f t="shared" si="4"/>
        <v>0</v>
      </c>
      <c r="M34" s="135" t="s">
        <v>5</v>
      </c>
      <c r="O34" s="244"/>
      <c r="P34" s="244"/>
      <c r="Q34" s="244"/>
      <c r="R34" s="244"/>
      <c r="S34" s="244"/>
      <c r="T34" s="244"/>
      <c r="U34" s="244"/>
      <c r="V34" s="244"/>
      <c r="W34" s="244"/>
      <c r="X34" s="244"/>
      <c r="Y34" s="244"/>
      <c r="Z34" s="244"/>
      <c r="AA34" s="244"/>
      <c r="AB34" s="244"/>
    </row>
    <row r="35" spans="1:28" ht="13.35" customHeight="1">
      <c r="A35" s="50" t="s">
        <v>5</v>
      </c>
      <c r="B35" s="141"/>
      <c r="C35" s="80"/>
      <c r="D35" s="93"/>
      <c r="E35" s="226"/>
      <c r="F35" s="89"/>
      <c r="G35" s="81"/>
      <c r="H35" s="82"/>
      <c r="I35" s="83" t="str">
        <f t="shared" si="2"/>
        <v/>
      </c>
      <c r="J35" s="361" t="str">
        <f t="shared" si="3"/>
        <v/>
      </c>
      <c r="K35" s="200">
        <v>32</v>
      </c>
      <c r="L35" s="133">
        <f t="shared" si="4"/>
        <v>0</v>
      </c>
      <c r="M35" s="135" t="s">
        <v>5</v>
      </c>
      <c r="O35" s="244"/>
      <c r="P35" s="244"/>
      <c r="Q35" s="244"/>
      <c r="R35" s="244"/>
      <c r="S35" s="244"/>
      <c r="T35" s="244"/>
      <c r="U35" s="244"/>
      <c r="V35" s="244"/>
      <c r="W35" s="244"/>
      <c r="X35" s="244"/>
      <c r="Y35" s="244"/>
      <c r="Z35" s="244"/>
      <c r="AA35" s="244"/>
      <c r="AB35" s="244"/>
    </row>
    <row r="36" spans="1:28" ht="13.35" customHeight="1">
      <c r="A36" s="50" t="s">
        <v>5</v>
      </c>
      <c r="B36" s="141"/>
      <c r="C36" s="80"/>
      <c r="D36" s="93"/>
      <c r="E36" s="226"/>
      <c r="F36" s="89"/>
      <c r="G36" s="81"/>
      <c r="H36" s="82"/>
      <c r="I36" s="83" t="str">
        <f t="shared" si="2"/>
        <v/>
      </c>
      <c r="J36" s="361" t="str">
        <f t="shared" si="3"/>
        <v/>
      </c>
      <c r="K36" s="200">
        <v>33</v>
      </c>
      <c r="L36" s="133">
        <f t="shared" si="4"/>
        <v>0</v>
      </c>
      <c r="M36" s="135" t="s">
        <v>5</v>
      </c>
      <c r="O36" s="244"/>
      <c r="P36" s="244"/>
      <c r="Q36" s="244"/>
      <c r="R36" s="244"/>
      <c r="S36" s="244"/>
      <c r="T36" s="244"/>
      <c r="U36" s="244"/>
      <c r="V36" s="244"/>
      <c r="W36" s="244"/>
      <c r="X36" s="244"/>
      <c r="Y36" s="244"/>
      <c r="Z36" s="244"/>
      <c r="AA36" s="244"/>
      <c r="AB36" s="244"/>
    </row>
    <row r="37" spans="1:28" ht="13.35" customHeight="1">
      <c r="A37" s="50" t="s">
        <v>5</v>
      </c>
      <c r="B37" s="141"/>
      <c r="C37" s="80"/>
      <c r="D37" s="93"/>
      <c r="E37" s="226"/>
      <c r="F37" s="89"/>
      <c r="G37" s="81"/>
      <c r="H37" s="82"/>
      <c r="I37" s="83" t="str">
        <f t="shared" si="2"/>
        <v/>
      </c>
      <c r="J37" s="361" t="str">
        <f t="shared" si="3"/>
        <v/>
      </c>
      <c r="K37" s="200">
        <v>34</v>
      </c>
      <c r="L37" s="133">
        <f t="shared" si="4"/>
        <v>0</v>
      </c>
      <c r="M37" s="135" t="s">
        <v>5</v>
      </c>
      <c r="O37" s="244"/>
      <c r="P37" s="244"/>
      <c r="Q37" s="244"/>
      <c r="R37" s="244"/>
      <c r="S37" s="244"/>
      <c r="T37" s="244"/>
      <c r="U37" s="244"/>
      <c r="V37" s="244"/>
      <c r="W37" s="244"/>
      <c r="X37" s="244"/>
      <c r="Y37" s="244"/>
      <c r="Z37" s="244"/>
      <c r="AA37" s="244"/>
      <c r="AB37" s="244"/>
    </row>
    <row r="38" spans="1:28" ht="13.35" customHeight="1">
      <c r="A38" s="50" t="s">
        <v>5</v>
      </c>
      <c r="B38" s="141"/>
      <c r="C38" s="80"/>
      <c r="D38" s="93"/>
      <c r="E38" s="226"/>
      <c r="F38" s="89"/>
      <c r="G38" s="81"/>
      <c r="H38" s="82"/>
      <c r="I38" s="83" t="str">
        <f t="shared" si="2"/>
        <v/>
      </c>
      <c r="J38" s="361" t="str">
        <f t="shared" si="3"/>
        <v/>
      </c>
      <c r="K38" s="200">
        <v>35</v>
      </c>
      <c r="L38" s="133">
        <f t="shared" si="4"/>
        <v>0</v>
      </c>
      <c r="M38" s="135" t="s">
        <v>5</v>
      </c>
      <c r="O38" s="244"/>
      <c r="P38" s="244"/>
      <c r="Q38" s="244"/>
      <c r="R38" s="244"/>
      <c r="S38" s="244"/>
      <c r="T38" s="244"/>
      <c r="U38" s="244"/>
      <c r="V38" s="244"/>
      <c r="W38" s="244"/>
      <c r="X38" s="244"/>
      <c r="Y38" s="244"/>
      <c r="Z38" s="244"/>
      <c r="AA38" s="244"/>
      <c r="AB38" s="244"/>
    </row>
    <row r="39" spans="1:28" ht="13.35" customHeight="1">
      <c r="A39" s="50" t="s">
        <v>5</v>
      </c>
      <c r="B39" s="141"/>
      <c r="C39" s="80"/>
      <c r="D39" s="93"/>
      <c r="E39" s="226"/>
      <c r="F39" s="89"/>
      <c r="G39" s="81"/>
      <c r="H39" s="82"/>
      <c r="I39" s="83" t="str">
        <f t="shared" si="2"/>
        <v/>
      </c>
      <c r="J39" s="361" t="str">
        <f t="shared" si="3"/>
        <v/>
      </c>
      <c r="K39" s="200">
        <v>36</v>
      </c>
      <c r="L39" s="133">
        <f t="shared" si="4"/>
        <v>0</v>
      </c>
      <c r="M39" s="135" t="s">
        <v>5</v>
      </c>
      <c r="O39" s="244"/>
      <c r="P39" s="244"/>
      <c r="Q39" s="244"/>
      <c r="R39" s="244"/>
      <c r="S39" s="244"/>
      <c r="T39" s="244"/>
      <c r="U39" s="244"/>
      <c r="V39" s="244"/>
      <c r="W39" s="244"/>
      <c r="X39" s="244"/>
      <c r="Y39" s="244"/>
      <c r="Z39" s="244"/>
      <c r="AA39" s="244"/>
      <c r="AB39" s="244"/>
    </row>
    <row r="40" spans="1:28" ht="13.35" customHeight="1">
      <c r="A40" s="50" t="s">
        <v>5</v>
      </c>
      <c r="B40" s="141"/>
      <c r="C40" s="80"/>
      <c r="D40" s="93"/>
      <c r="E40" s="226"/>
      <c r="F40" s="89"/>
      <c r="G40" s="81"/>
      <c r="H40" s="82"/>
      <c r="I40" s="83" t="str">
        <f t="shared" si="2"/>
        <v/>
      </c>
      <c r="J40" s="361" t="str">
        <f t="shared" si="3"/>
        <v/>
      </c>
      <c r="K40" s="200">
        <v>37</v>
      </c>
      <c r="L40" s="133">
        <f t="shared" si="4"/>
        <v>0</v>
      </c>
      <c r="M40" s="135" t="s">
        <v>5</v>
      </c>
      <c r="O40" s="244"/>
      <c r="P40" s="244"/>
      <c r="Q40" s="244"/>
      <c r="R40" s="244"/>
      <c r="S40" s="244"/>
      <c r="T40" s="244"/>
      <c r="U40" s="244"/>
      <c r="V40" s="244"/>
      <c r="W40" s="244"/>
      <c r="X40" s="244"/>
      <c r="Y40" s="244"/>
      <c r="Z40" s="244"/>
      <c r="AA40" s="244"/>
      <c r="AB40" s="244"/>
    </row>
    <row r="41" spans="1:28" ht="13.35" customHeight="1">
      <c r="A41" s="50" t="s">
        <v>5</v>
      </c>
      <c r="B41" s="141"/>
      <c r="C41" s="80"/>
      <c r="D41" s="93"/>
      <c r="E41" s="226"/>
      <c r="F41" s="89"/>
      <c r="G41" s="81"/>
      <c r="H41" s="82"/>
      <c r="I41" s="83" t="str">
        <f t="shared" si="2"/>
        <v/>
      </c>
      <c r="J41" s="361" t="str">
        <f t="shared" si="3"/>
        <v/>
      </c>
      <c r="K41" s="200">
        <v>38</v>
      </c>
      <c r="L41" s="133">
        <f t="shared" si="4"/>
        <v>0</v>
      </c>
      <c r="M41" s="135" t="s">
        <v>5</v>
      </c>
      <c r="O41" s="244"/>
      <c r="P41" s="244"/>
      <c r="Q41" s="244"/>
      <c r="R41" s="244"/>
      <c r="S41" s="244"/>
      <c r="T41" s="244"/>
      <c r="U41" s="244"/>
      <c r="V41" s="244"/>
      <c r="W41" s="244"/>
      <c r="X41" s="244"/>
      <c r="Y41" s="244"/>
      <c r="Z41" s="244"/>
      <c r="AA41" s="244"/>
      <c r="AB41" s="244"/>
    </row>
    <row r="42" spans="1:28" ht="13.35" customHeight="1">
      <c r="A42" s="50" t="s">
        <v>5</v>
      </c>
      <c r="B42" s="141"/>
      <c r="C42" s="80"/>
      <c r="D42" s="93"/>
      <c r="E42" s="226"/>
      <c r="F42" s="89"/>
      <c r="G42" s="81"/>
      <c r="H42" s="82"/>
      <c r="I42" s="83" t="str">
        <f t="shared" si="2"/>
        <v/>
      </c>
      <c r="J42" s="361" t="str">
        <f t="shared" si="3"/>
        <v/>
      </c>
      <c r="K42" s="200">
        <v>39</v>
      </c>
      <c r="L42" s="133">
        <f t="shared" si="4"/>
        <v>0</v>
      </c>
      <c r="M42" s="135" t="s">
        <v>5</v>
      </c>
      <c r="O42" s="244"/>
      <c r="P42" s="244"/>
      <c r="Q42" s="244"/>
      <c r="R42" s="244"/>
      <c r="S42" s="244"/>
      <c r="T42" s="244"/>
      <c r="U42" s="244"/>
      <c r="V42" s="244"/>
      <c r="W42" s="244"/>
      <c r="X42" s="244"/>
      <c r="Y42" s="244"/>
      <c r="Z42" s="244"/>
      <c r="AA42" s="244"/>
      <c r="AB42" s="244"/>
    </row>
    <row r="43" spans="1:28" ht="13.35" customHeight="1">
      <c r="A43" s="50" t="s">
        <v>5</v>
      </c>
      <c r="B43" s="141"/>
      <c r="C43" s="80"/>
      <c r="D43" s="93"/>
      <c r="E43" s="226"/>
      <c r="F43" s="89"/>
      <c r="G43" s="81"/>
      <c r="H43" s="82"/>
      <c r="I43" s="83" t="str">
        <f t="shared" si="2"/>
        <v/>
      </c>
      <c r="J43" s="361" t="str">
        <f t="shared" si="3"/>
        <v/>
      </c>
      <c r="K43" s="200">
        <v>40</v>
      </c>
      <c r="L43" s="133">
        <f t="shared" si="4"/>
        <v>0</v>
      </c>
      <c r="M43" s="135" t="s">
        <v>5</v>
      </c>
      <c r="O43" s="244"/>
      <c r="P43" s="244"/>
      <c r="Q43" s="244"/>
      <c r="R43" s="244"/>
      <c r="S43" s="244"/>
      <c r="T43" s="244"/>
      <c r="U43" s="244"/>
      <c r="V43" s="244"/>
      <c r="W43" s="244"/>
      <c r="X43" s="244"/>
      <c r="Y43" s="244"/>
      <c r="Z43" s="244"/>
      <c r="AA43" s="244"/>
      <c r="AB43" s="244"/>
    </row>
    <row r="44" spans="1:28" ht="13.35" customHeight="1">
      <c r="A44" s="50" t="s">
        <v>5</v>
      </c>
      <c r="B44" s="141"/>
      <c r="C44" s="80"/>
      <c r="D44" s="93"/>
      <c r="E44" s="226"/>
      <c r="F44" s="89"/>
      <c r="G44" s="81"/>
      <c r="H44" s="82"/>
      <c r="I44" s="83" t="str">
        <f t="shared" si="2"/>
        <v/>
      </c>
      <c r="J44" s="361" t="str">
        <f t="shared" si="3"/>
        <v/>
      </c>
      <c r="K44" s="200">
        <v>41</v>
      </c>
      <c r="L44" s="133">
        <f t="shared" si="4"/>
        <v>0</v>
      </c>
      <c r="M44" s="135" t="s">
        <v>5</v>
      </c>
      <c r="O44" s="244"/>
      <c r="P44" s="244"/>
      <c r="Q44" s="244"/>
      <c r="R44" s="244"/>
      <c r="S44" s="244"/>
      <c r="T44" s="244"/>
      <c r="U44" s="244"/>
      <c r="V44" s="244"/>
      <c r="W44" s="244"/>
      <c r="X44" s="244"/>
      <c r="Y44" s="244"/>
      <c r="Z44" s="244"/>
      <c r="AA44" s="244"/>
      <c r="AB44" s="244"/>
    </row>
    <row r="45" spans="1:28" ht="13.35" customHeight="1">
      <c r="A45" s="50" t="s">
        <v>5</v>
      </c>
      <c r="B45" s="141"/>
      <c r="C45" s="80"/>
      <c r="D45" s="93"/>
      <c r="E45" s="226"/>
      <c r="F45" s="89"/>
      <c r="G45" s="81"/>
      <c r="H45" s="82"/>
      <c r="I45" s="83" t="str">
        <f t="shared" ref="I45:I46" si="7">IF(G45&lt;&gt;"",+G45-G45/(1+H45/100),"")</f>
        <v/>
      </c>
      <c r="J45" s="361" t="str">
        <f t="shared" ref="J45:J46" si="8">IF(G45&lt;&gt;0,+G45-I45,"")</f>
        <v/>
      </c>
      <c r="K45" s="200">
        <v>44</v>
      </c>
      <c r="L45" s="133">
        <f t="shared" ref="L45:L46" si="9">IF(B45&lt;$O$2,0,IF(B45&lt;$P$2,1,IF(B45&lt;$Q$2,2,IF(B45&lt;$R$2,3,IF(B45&lt;$S$2,4,IF(B45&lt;$T$2,5,IF(B45&lt;$U$2,6,IF(B45&lt;$V$2,7,IF(B45&lt;$W$2,8,IF(B45&lt;$X$2,9,IF(B45&lt;$Y$2,10,IF(B45&lt;$Z$2,11,IF(B45&lt;=$Z$3,12,0)))))))))))))</f>
        <v>0</v>
      </c>
      <c r="M45" s="135" t="s">
        <v>5</v>
      </c>
      <c r="O45" s="244"/>
      <c r="P45" s="244"/>
      <c r="Q45" s="244"/>
      <c r="R45" s="244"/>
      <c r="S45" s="244"/>
      <c r="T45" s="244"/>
      <c r="U45" s="244"/>
      <c r="V45" s="244"/>
      <c r="W45" s="244"/>
      <c r="X45" s="244"/>
      <c r="Y45" s="244"/>
      <c r="Z45" s="244"/>
      <c r="AA45" s="244"/>
      <c r="AB45" s="244"/>
    </row>
    <row r="46" spans="1:28" ht="13.35" customHeight="1" thickBot="1">
      <c r="A46" s="50" t="s">
        <v>5</v>
      </c>
      <c r="B46" s="141"/>
      <c r="C46" s="80"/>
      <c r="D46" s="93"/>
      <c r="E46" s="226"/>
      <c r="F46" s="89"/>
      <c r="G46" s="81"/>
      <c r="H46" s="82"/>
      <c r="I46" s="83" t="str">
        <f t="shared" si="7"/>
        <v/>
      </c>
      <c r="J46" s="361" t="str">
        <f t="shared" si="8"/>
        <v/>
      </c>
      <c r="K46" s="200">
        <v>45</v>
      </c>
      <c r="L46" s="133">
        <f t="shared" si="9"/>
        <v>0</v>
      </c>
      <c r="M46" s="135" t="s">
        <v>5</v>
      </c>
      <c r="O46" s="244"/>
      <c r="P46" s="244"/>
      <c r="Q46" s="244"/>
      <c r="R46" s="244"/>
      <c r="S46" s="244"/>
      <c r="T46" s="244"/>
      <c r="U46" s="244"/>
      <c r="V46" s="244"/>
      <c r="W46" s="244"/>
      <c r="X46" s="244"/>
      <c r="Y46" s="244"/>
      <c r="Z46" s="244"/>
      <c r="AA46" s="244"/>
      <c r="AB46" s="244"/>
    </row>
    <row r="47" spans="1:28" ht="12" customHeight="1" thickTop="1" thickBot="1">
      <c r="A47" s="391" t="s">
        <v>283</v>
      </c>
      <c r="B47" s="1244" t="str">
        <f>IF($A$48=0,"^ Zeile einfügen","bis hierher ziehen!")</f>
        <v>^ Zeile einfügen</v>
      </c>
      <c r="C47" s="1244"/>
      <c r="D47" s="392" t="s">
        <v>5</v>
      </c>
      <c r="E47" s="393" t="s">
        <v>5</v>
      </c>
      <c r="F47" s="394" t="s">
        <v>5</v>
      </c>
      <c r="G47" s="394"/>
      <c r="H47" s="395"/>
      <c r="I47" s="396"/>
      <c r="J47" s="425"/>
      <c r="K47" s="201">
        <v>0</v>
      </c>
      <c r="L47" s="185" t="s">
        <v>5</v>
      </c>
      <c r="M47" s="398" t="s">
        <v>283</v>
      </c>
    </row>
    <row r="48" spans="1:28" ht="12" customHeight="1" thickTop="1" thickBot="1">
      <c r="A48" s="390">
        <f>COUNTBLANK(A3:A47)+A49</f>
        <v>0</v>
      </c>
      <c r="B48" s="193" t="str">
        <f>+EÜR!C36</f>
        <v>ü</v>
      </c>
      <c r="C48" s="194" t="s">
        <v>5</v>
      </c>
      <c r="D48" s="194" t="s">
        <v>5</v>
      </c>
      <c r="E48" s="195" t="s">
        <v>5</v>
      </c>
      <c r="F48" s="196" t="s">
        <v>5</v>
      </c>
      <c r="G48" s="197">
        <f>SUBTOTAL(9,G3:G47)</f>
        <v>0</v>
      </c>
      <c r="H48" s="1242">
        <f>SUBTOTAL(9,I3:I47)</f>
        <v>0</v>
      </c>
      <c r="I48" s="1243">
        <f>SUBTOTAL(9,I3:I47)</f>
        <v>0</v>
      </c>
      <c r="J48" s="1293">
        <f>G48-H48</f>
        <v>0</v>
      </c>
      <c r="K48" s="1294"/>
      <c r="L48" s="1295"/>
      <c r="M48" s="135" t="s">
        <v>5</v>
      </c>
    </row>
    <row r="49" spans="1:14" ht="12" customHeight="1" thickTop="1" thickBot="1">
      <c r="A49" s="390">
        <f>IF(ISERROR(J47),1,0)</f>
        <v>0</v>
      </c>
      <c r="B49" s="192">
        <f>J48-G49-E49-C49</f>
        <v>0</v>
      </c>
      <c r="C49" s="1239">
        <f>SUMIF(F4:F47,"Kreditkarte",G4:G47)</f>
        <v>0</v>
      </c>
      <c r="D49" s="1239"/>
      <c r="E49" s="1240">
        <f>SUMIF(F4:F47,"Konto",G4:G47)</f>
        <v>0</v>
      </c>
      <c r="F49" s="1240"/>
      <c r="G49" s="1241">
        <f>SUMIF(F4:F47,"Geldbeutel",G4:G47)</f>
        <v>0</v>
      </c>
      <c r="H49" s="1241"/>
      <c r="I49" s="1241"/>
      <c r="J49" s="1296"/>
      <c r="K49" s="1297"/>
      <c r="L49" s="1298"/>
      <c r="M49" s="135" t="s">
        <v>5</v>
      </c>
    </row>
    <row r="50" spans="1:14" s="15" customFormat="1" ht="5.25" customHeight="1" thickTop="1">
      <c r="A50" s="36"/>
      <c r="B50" s="2"/>
      <c r="C50" s="3"/>
      <c r="D50" s="3"/>
      <c r="E50" s="1"/>
      <c r="G50" s="16"/>
      <c r="H50" s="16"/>
      <c r="I50" s="17"/>
      <c r="J50" s="18"/>
      <c r="K50" s="18"/>
      <c r="L50" s="31"/>
      <c r="N50" s="148"/>
    </row>
    <row r="51" spans="1:14">
      <c r="A51" s="36"/>
    </row>
  </sheetData>
  <sheetProtection formatCells="0" insertRows="0" deleteRows="0" selectLockedCells="1" sort="0" autoFilter="0"/>
  <mergeCells count="15">
    <mergeCell ref="C2:I2"/>
    <mergeCell ref="J2:L2"/>
    <mergeCell ref="AA9:AB9"/>
    <mergeCell ref="O10:Z10"/>
    <mergeCell ref="O11:Z11"/>
    <mergeCell ref="AA4:AB4"/>
    <mergeCell ref="AA13:AB13"/>
    <mergeCell ref="O14:Z14"/>
    <mergeCell ref="AA14:AB14"/>
    <mergeCell ref="J48:L49"/>
    <mergeCell ref="C49:D49"/>
    <mergeCell ref="E49:F49"/>
    <mergeCell ref="G49:I49"/>
    <mergeCell ref="H48:I48"/>
    <mergeCell ref="B47:C47"/>
  </mergeCells>
  <conditionalFormatting sqref="A4:A46">
    <cfRule type="expression" dxfId="860" priority="25">
      <formula>ISERROR(J4)</formula>
    </cfRule>
    <cfRule type="cellIs" dxfId="859" priority="26" operator="equal">
      <formula>""</formula>
    </cfRule>
  </conditionalFormatting>
  <conditionalFormatting sqref="A47:C47">
    <cfRule type="expression" dxfId="858" priority="10">
      <formula>$A$48&lt;&gt;0</formula>
    </cfRule>
  </conditionalFormatting>
  <conditionalFormatting sqref="B2">
    <cfRule type="expression" dxfId="857" priority="52" stopIfTrue="1">
      <formula>$B$48="x"</formula>
    </cfRule>
  </conditionalFormatting>
  <conditionalFormatting sqref="B4:B46">
    <cfRule type="cellIs" dxfId="856" priority="39" operator="equal">
      <formula>""</formula>
    </cfRule>
  </conditionalFormatting>
  <conditionalFormatting sqref="B48">
    <cfRule type="cellIs" dxfId="853" priority="75" operator="equal">
      <formula>"y"</formula>
    </cfRule>
  </conditionalFormatting>
  <conditionalFormatting sqref="B3:J3">
    <cfRule type="expression" dxfId="852" priority="10278">
      <formula>$B$48="x"</formula>
    </cfRule>
  </conditionalFormatting>
  <conditionalFormatting sqref="B4:J46">
    <cfRule type="expression" dxfId="851" priority="2">
      <formula>$B$1="x"</formula>
    </cfRule>
  </conditionalFormatting>
  <conditionalFormatting sqref="B3:L3">
    <cfRule type="expression" dxfId="850" priority="69">
      <formula>$B$48="x"</formula>
    </cfRule>
  </conditionalFormatting>
  <conditionalFormatting sqref="C4:D46">
    <cfRule type="expression" dxfId="849" priority="3">
      <formula>AND($B4&lt;&gt;"",$C4="")</formula>
    </cfRule>
  </conditionalFormatting>
  <conditionalFormatting sqref="C49:I49">
    <cfRule type="cellIs" dxfId="848" priority="74" stopIfTrue="1" operator="lessThan">
      <formula>0</formula>
    </cfRule>
    <cfRule type="cellIs" dxfId="847" priority="72" stopIfTrue="1" operator="greaterThanOrEqual">
      <formula>0</formula>
    </cfRule>
  </conditionalFormatting>
  <conditionalFormatting sqref="D47:J47">
    <cfRule type="expression" dxfId="846" priority="12">
      <formula>$A$48&lt;&gt;0</formula>
    </cfRule>
  </conditionalFormatting>
  <conditionalFormatting sqref="H4:H46">
    <cfRule type="expression" dxfId="845" priority="38">
      <formula>AND(G4&lt;&gt;"",H4="",$I$1&lt;&gt;"x")</formula>
    </cfRule>
  </conditionalFormatting>
  <conditionalFormatting sqref="H4:I46">
    <cfRule type="expression" dxfId="844" priority="36">
      <formula>AND($I4&lt;&gt;0,$I$1&lt;&gt;"ü")</formula>
    </cfRule>
    <cfRule type="expression" dxfId="843" priority="37">
      <formula>$I$1&lt;&gt;"ü"</formula>
    </cfRule>
  </conditionalFormatting>
  <conditionalFormatting sqref="J48:L48 C49:L49 C48:H48">
    <cfRule type="expression" dxfId="841" priority="71">
      <formula>$B$48="x"</formula>
    </cfRule>
  </conditionalFormatting>
  <conditionalFormatting sqref="J48:L49">
    <cfRule type="expression" dxfId="840" priority="70">
      <formula>AND($B$48="x",$J$48&lt;&gt;0)</formula>
    </cfRule>
  </conditionalFormatting>
  <conditionalFormatting sqref="K4:L46">
    <cfRule type="expression" dxfId="839" priority="16691">
      <formula>$B$48="x"</formula>
    </cfRule>
  </conditionalFormatting>
  <conditionalFormatting sqref="M3">
    <cfRule type="cellIs" dxfId="838" priority="34" operator="equal">
      <formula>""</formula>
    </cfRule>
  </conditionalFormatting>
  <conditionalFormatting sqref="M4:M46">
    <cfRule type="expression" dxfId="837" priority="32">
      <formula>ISERROR(J4)</formula>
    </cfRule>
    <cfRule type="cellIs" dxfId="836" priority="33" operator="equal">
      <formula>""</formula>
    </cfRule>
  </conditionalFormatting>
  <conditionalFormatting sqref="M47">
    <cfRule type="expression" dxfId="835" priority="11">
      <formula>$A$48&lt;&gt;0</formula>
    </cfRule>
  </conditionalFormatting>
  <conditionalFormatting sqref="M47:M49">
    <cfRule type="cellIs" dxfId="834" priority="14" operator="equal">
      <formula>""</formula>
    </cfRule>
  </conditionalFormatting>
  <conditionalFormatting sqref="N10:AB10">
    <cfRule type="expression" dxfId="833" priority="9">
      <formula>$N$2=0</formula>
    </cfRule>
  </conditionalFormatting>
  <conditionalFormatting sqref="O11:Z11">
    <cfRule type="cellIs" dxfId="832" priority="56" operator="equal">
      <formula>"Fehler!"</formula>
    </cfRule>
  </conditionalFormatting>
  <conditionalFormatting sqref="O4:AA4">
    <cfRule type="expression" dxfId="828" priority="51">
      <formula>$N$2=0</formula>
    </cfRule>
  </conditionalFormatting>
  <conditionalFormatting sqref="O2:AB3">
    <cfRule type="expression" dxfId="826" priority="4">
      <formula>$N$2=0</formula>
    </cfRule>
  </conditionalFormatting>
  <conditionalFormatting sqref="O5:AB8 O9:AA9">
    <cfRule type="expression" dxfId="825" priority="55">
      <formula>$N$2=0</formula>
    </cfRule>
  </conditionalFormatting>
  <conditionalFormatting sqref="O11:AB14">
    <cfRule type="expression" dxfId="824" priority="1">
      <formula>$N$2=0</formula>
    </cfRule>
  </conditionalFormatting>
  <conditionalFormatting sqref="O47:AB49">
    <cfRule type="expression" dxfId="823" priority="13">
      <formula>$N$2=0</formula>
    </cfRule>
  </conditionalFormatting>
  <dataValidations count="2">
    <dataValidation type="list" allowBlank="1" showInputMessage="1" showErrorMessage="1" sqref="H4:H46" xr:uid="{58AC9173-247D-4D67-8518-E26D1F149C92}">
      <formula1>"19,7,0,~"</formula1>
    </dataValidation>
    <dataValidation type="list" allowBlank="1" showInputMessage="1" showErrorMessage="1" sqref="F4:F46" xr:uid="{FA2DCA62-0E41-4F0B-8BB3-D944A3C446CB}">
      <formula1>"Konto,Geldbeutel,Kreditkarte,x"</formula1>
    </dataValidation>
  </dataValidations>
  <hyperlinks>
    <hyperlink ref="J2" location="'2022 EÜR'!A1" display="Menü" xr:uid="{A7336CE7-2A02-47E7-B650-55E871C7B642}"/>
    <hyperlink ref="J2:L2" location="EÜR!A1" display="EÜR" xr:uid="{75C9D8B1-B754-48D1-8961-0442B10E9114}"/>
  </hyperlinks>
  <printOptions horizontalCentered="1"/>
  <pageMargins left="0" right="0" top="0" bottom="0.31496062992125984" header="0" footer="0"/>
  <pageSetup paperSize="9" orientation="portrait" r:id="rId1"/>
  <headerFooter>
    <oddFooter>&amp;L&amp;"Arial,Standard"&amp;8Datei: &amp;Z&amp;F/&amp;A&amp;C&amp;"Arial,Standard"&amp;8Seite &amp;P von &amp;N&amp;R&amp;"Arial,Standard"&amp;8Druck: &amp;D&amp;T Uhr</oddFooter>
  </headerFooter>
  <extLst>
    <ext xmlns:x14="http://schemas.microsoft.com/office/spreadsheetml/2009/9/main" uri="{78C0D931-6437-407d-A8EE-F0AAD7539E65}">
      <x14:conditionalFormattings>
        <x14:conditionalFormatting xmlns:xm="http://schemas.microsoft.com/office/excel/2006/main">
          <x14:cfRule type="cellIs" priority="41" operator="lessThan" id="{B92F107C-2D09-4FFD-897A-2F0D86453B42}">
            <xm:f>EÜR!$I$77</xm:f>
            <x14:dxf>
              <font>
                <b/>
                <i val="0"/>
                <color rgb="FFFFFF00"/>
              </font>
              <fill>
                <patternFill>
                  <bgColor rgb="FFC00000"/>
                </patternFill>
              </fill>
            </x14:dxf>
          </x14:cfRule>
          <x14:cfRule type="cellIs" priority="40" operator="greaterThan" id="{E05173A3-01FF-43AE-AFF2-4FBC52482D1C}">
            <xm:f>EÜR!$I$78</xm:f>
            <x14:dxf>
              <font>
                <b/>
                <i val="0"/>
                <color rgb="FFFFFF00"/>
              </font>
              <fill>
                <patternFill>
                  <bgColor rgb="FFC00000"/>
                </patternFill>
              </fill>
            </x14:dxf>
          </x14:cfRule>
          <xm:sqref>B4:B46</xm:sqref>
        </x14:conditionalFormatting>
        <x14:conditionalFormatting xmlns:xm="http://schemas.microsoft.com/office/excel/2006/main">
          <x14:cfRule type="expression" priority="53" id="{7A5EF5AA-0BEF-470A-BC3E-BBA5192E7FD4}">
            <xm:f>AND(EÜR!$J$66&lt;&gt;"ü",$H$48&lt;&gt;0)</xm:f>
            <x14:dxf>
              <font>
                <b/>
                <i val="0"/>
                <color rgb="FFFFFF00"/>
              </font>
              <fill>
                <patternFill>
                  <bgColor rgb="FFFF0000"/>
                </patternFill>
              </fill>
            </x14:dxf>
          </x14:cfRule>
          <xm:sqref>H48:I48</xm:sqref>
        </x14:conditionalFormatting>
        <x14:conditionalFormatting xmlns:xm="http://schemas.microsoft.com/office/excel/2006/main">
          <x14:cfRule type="expression" priority="57" id="{88788257-5941-47AC-B6C9-9ABEC5DB57C1}">
            <xm:f>AND(O13&lt;&gt;0,U!L36="!",U!L37="!")</xm:f>
            <x14:dxf>
              <font>
                <b/>
                <i val="0"/>
                <color rgb="FFFF0000"/>
              </font>
              <fill>
                <patternFill>
                  <bgColor rgb="FFFFCCCC"/>
                </patternFill>
              </fill>
            </x14:dxf>
          </x14:cfRule>
          <x14:cfRule type="expression" priority="58" id="{70728901-2295-4DCA-B0C1-F50FB0DEE58A}">
            <xm:f>U!L37&lt;&gt;"!"</xm:f>
            <x14:dxf>
              <font>
                <b/>
                <i val="0"/>
                <color rgb="FF006666"/>
              </font>
              <fill>
                <patternFill>
                  <bgColor theme="6" tint="0.39994506668294322"/>
                </patternFill>
              </fill>
            </x14:dxf>
          </x14:cfRule>
          <x14:cfRule type="expression" priority="59" id="{F75862AB-50C9-419D-A878-FA6A6A7F5853}">
            <xm:f>U!L36&lt;&gt;"!"</xm:f>
            <x14:dxf>
              <font>
                <b/>
                <i val="0"/>
                <color theme="9" tint="-0.499984740745262"/>
              </font>
              <fill>
                <patternFill>
                  <bgColor rgb="FFFFFF99"/>
                </patternFill>
              </fill>
            </x14:dxf>
          </x14:cfRule>
          <xm:sqref>O13:Z13</xm:sqref>
        </x14:conditionalFormatting>
        <x14:conditionalFormatting xmlns:xm="http://schemas.microsoft.com/office/excel/2006/main">
          <x14:cfRule type="expression" priority="5" id="{C58AC7BA-E2E5-49D2-8D7F-447C1BE1A398}">
            <xm:f>EÜR!$J$66="-"</xm:f>
            <x14:dxf>
              <font>
                <b/>
                <i val="0"/>
                <color theme="0"/>
              </font>
              <fill>
                <patternFill>
                  <bgColor theme="0"/>
                </patternFill>
              </fill>
              <border>
                <left/>
                <right/>
                <top/>
                <bottom/>
              </border>
            </x14:dxf>
          </x14:cfRule>
          <xm:sqref>O12:AA14</xm:sqref>
        </x14:conditionalFormatting>
      </x14:conditionalFormattings>
    </ext>
  </extLst>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4A2B16-E5C3-4A4A-843D-3452974976CD}">
  <sheetPr codeName="Tabelle24">
    <tabColor theme="9" tint="0.39997558519241921"/>
    <pageSetUpPr autoPageBreaks="0"/>
  </sheetPr>
  <dimension ref="A1:AB51"/>
  <sheetViews>
    <sheetView showGridLines="0" showRowColHeaders="0" zoomScaleNormal="100" workbookViewId="0">
      <pane ySplit="3" topLeftCell="A4" activePane="bottomLeft" state="frozen"/>
      <selection activeCell="F4" sqref="F4:F46"/>
      <selection pane="bottomLeft" activeCell="A4" sqref="A4"/>
    </sheetView>
  </sheetViews>
  <sheetFormatPr baseColWidth="10" defaultColWidth="9.77734375" defaultRowHeight="12.75"/>
  <cols>
    <col min="1" max="1" width="0.77734375" style="12" customWidth="1"/>
    <col min="2" max="2" width="7.6640625" style="30" customWidth="1"/>
    <col min="3" max="3" width="21.6640625" style="24" customWidth="1"/>
    <col min="4" max="4" width="7.6640625" style="24" customWidth="1"/>
    <col min="5" max="5" width="6.6640625" style="25" customWidth="1"/>
    <col min="6" max="6" width="9.6640625" style="26" customWidth="1"/>
    <col min="7" max="7" width="9.6640625" style="27" customWidth="1"/>
    <col min="8" max="8" width="2.6640625" style="28" customWidth="1"/>
    <col min="9" max="9" width="6.6640625" style="29" customWidth="1"/>
    <col min="10" max="10" width="9.6640625" style="27" customWidth="1"/>
    <col min="11" max="11" width="2.5546875" style="27" hidden="1" customWidth="1"/>
    <col min="12" max="12" width="1.5546875" style="32" hidden="1" customWidth="1"/>
    <col min="13" max="13" width="0.77734375" style="13" customWidth="1"/>
    <col min="14" max="14" width="1.77734375" style="147" customWidth="1"/>
    <col min="15" max="26" width="8.77734375" style="13" customWidth="1"/>
    <col min="27" max="27" width="10.33203125" style="13" customWidth="1"/>
    <col min="28" max="28" width="8.33203125" style="13" customWidth="1"/>
    <col min="29" max="16384" width="9.77734375" style="13"/>
  </cols>
  <sheetData>
    <row r="1" spans="1:28" s="37" customFormat="1" ht="3" customHeight="1" thickBot="1">
      <c r="A1" s="36"/>
      <c r="B1" s="53" t="str">
        <f>+B48</f>
        <v>ü</v>
      </c>
      <c r="C1" s="54">
        <f>+C49</f>
        <v>0</v>
      </c>
      <c r="D1" s="54"/>
      <c r="E1" s="53">
        <f>+E49</f>
        <v>0</v>
      </c>
      <c r="F1" s="53"/>
      <c r="G1" s="54">
        <f>+G49</f>
        <v>0</v>
      </c>
      <c r="H1" s="53"/>
      <c r="I1" s="338" t="str">
        <f>+EÜR!J66</f>
        <v>-</v>
      </c>
      <c r="J1" s="54">
        <f>+J48</f>
        <v>0</v>
      </c>
      <c r="K1" s="198"/>
      <c r="L1" s="56"/>
      <c r="N1" s="190"/>
    </row>
    <row r="2" spans="1:28" ht="23.1" customHeight="1" thickTop="1" thickBot="1">
      <c r="A2" s="36"/>
      <c r="B2" s="296" t="str">
        <f>+EÜR!D37</f>
        <v>A16</v>
      </c>
      <c r="C2" s="1290" t="str">
        <f>+EÜR!F37</f>
        <v>Arbeitsmittel (Büro, Porto, Literatur)</v>
      </c>
      <c r="D2" s="1291"/>
      <c r="E2" s="1291"/>
      <c r="F2" s="1291"/>
      <c r="G2" s="1291"/>
      <c r="H2" s="1291"/>
      <c r="I2" s="1292"/>
      <c r="J2" s="1227" t="s">
        <v>8</v>
      </c>
      <c r="K2" s="1228"/>
      <c r="L2" s="1229"/>
      <c r="M2" s="134"/>
      <c r="N2" s="190">
        <f>IF(OR(B48="x",N3=1),0,1)</f>
        <v>1</v>
      </c>
      <c r="O2" s="188">
        <f>+EOMONTH(EÜR!$I$3,-1)+1</f>
        <v>46023</v>
      </c>
      <c r="P2" s="188">
        <f t="shared" ref="P2:Z2" si="0">+O3+1</f>
        <v>46054</v>
      </c>
      <c r="Q2" s="188">
        <f t="shared" si="0"/>
        <v>46082</v>
      </c>
      <c r="R2" s="188">
        <f t="shared" si="0"/>
        <v>46113</v>
      </c>
      <c r="S2" s="188">
        <f t="shared" si="0"/>
        <v>46143</v>
      </c>
      <c r="T2" s="188">
        <f t="shared" si="0"/>
        <v>46174</v>
      </c>
      <c r="U2" s="188">
        <f t="shared" si="0"/>
        <v>46204</v>
      </c>
      <c r="V2" s="188">
        <f t="shared" si="0"/>
        <v>46235</v>
      </c>
      <c r="W2" s="188">
        <f t="shared" si="0"/>
        <v>46266</v>
      </c>
      <c r="X2" s="188">
        <f t="shared" si="0"/>
        <v>46296</v>
      </c>
      <c r="Y2" s="188">
        <f t="shared" si="0"/>
        <v>46327</v>
      </c>
      <c r="Z2" s="188">
        <f t="shared" si="0"/>
        <v>46357</v>
      </c>
      <c r="AA2" s="48"/>
    </row>
    <row r="3" spans="1:28" ht="14.25" customHeight="1" thickTop="1">
      <c r="A3" s="36" t="s">
        <v>5</v>
      </c>
      <c r="B3" s="58" t="s">
        <v>1</v>
      </c>
      <c r="C3" s="59" t="s">
        <v>6</v>
      </c>
      <c r="D3" s="60"/>
      <c r="E3" s="310" t="s">
        <v>7</v>
      </c>
      <c r="F3" s="61" t="s">
        <v>4</v>
      </c>
      <c r="G3" s="62" t="s">
        <v>31</v>
      </c>
      <c r="H3" s="63" t="s">
        <v>33</v>
      </c>
      <c r="I3" s="64" t="s">
        <v>32</v>
      </c>
      <c r="J3" s="275" t="s">
        <v>34</v>
      </c>
      <c r="K3" s="199">
        <v>0</v>
      </c>
      <c r="L3" s="65" t="s">
        <v>5</v>
      </c>
      <c r="M3" s="135" t="s">
        <v>5</v>
      </c>
      <c r="N3" s="222">
        <f>IF(SUBTOTAL(109,K3:K47)&lt;&gt;SUM(K3:K47),1,0)</f>
        <v>0</v>
      </c>
      <c r="O3" s="189">
        <f>EOMONTH(O2,0)</f>
        <v>46053</v>
      </c>
      <c r="P3" s="189">
        <f t="shared" ref="P3:Z3" si="1">EOMONTH(P2,0)</f>
        <v>46081</v>
      </c>
      <c r="Q3" s="189">
        <f t="shared" si="1"/>
        <v>46112</v>
      </c>
      <c r="R3" s="189">
        <f t="shared" si="1"/>
        <v>46142</v>
      </c>
      <c r="S3" s="189">
        <f t="shared" si="1"/>
        <v>46173</v>
      </c>
      <c r="T3" s="189">
        <f t="shared" si="1"/>
        <v>46203</v>
      </c>
      <c r="U3" s="189">
        <f t="shared" si="1"/>
        <v>46234</v>
      </c>
      <c r="V3" s="189">
        <f t="shared" si="1"/>
        <v>46265</v>
      </c>
      <c r="W3" s="189">
        <f t="shared" si="1"/>
        <v>46295</v>
      </c>
      <c r="X3" s="189">
        <f t="shared" si="1"/>
        <v>46326</v>
      </c>
      <c r="Y3" s="189">
        <f t="shared" si="1"/>
        <v>46356</v>
      </c>
      <c r="Z3" s="189">
        <f t="shared" si="1"/>
        <v>46387</v>
      </c>
      <c r="AB3" s="14"/>
    </row>
    <row r="4" spans="1:28" ht="13.35" customHeight="1">
      <c r="A4" s="50" t="s">
        <v>5</v>
      </c>
      <c r="B4" s="141"/>
      <c r="C4" s="80"/>
      <c r="D4" s="93"/>
      <c r="E4" s="226"/>
      <c r="F4" s="89"/>
      <c r="G4" s="81"/>
      <c r="H4" s="82"/>
      <c r="I4" s="83" t="str">
        <f t="shared" ref="I4:I12" si="2">IF(G4&lt;&gt;"",+G4-G4/(1+H4/100),"")</f>
        <v/>
      </c>
      <c r="J4" s="361" t="str">
        <f t="shared" ref="J4:J44" si="3">IF(G4&lt;&gt;0,+G4-I4,"")</f>
        <v/>
      </c>
      <c r="K4" s="200">
        <v>1</v>
      </c>
      <c r="L4" s="133">
        <f>IF(B4&lt;$O$2,0,IF(B4&lt;$P$2,1,IF(B4&lt;$Q$2,2,IF(B4&lt;$R$2,3,IF(B4&lt;$S$2,4,IF(B4&lt;$T$2,5,IF(B4&lt;$U$2,6,IF(B4&lt;$V$2,7,IF(B4&lt;$W$2,8,IF(B4&lt;$X$2,9,IF(B4&lt;$Y$2,10,IF(B4&lt;$Z$2,11,IF(B4&lt;=$Z$3,12,0)))))))))))))</f>
        <v>0</v>
      </c>
      <c r="M4" s="135" t="s">
        <v>5</v>
      </c>
      <c r="N4" s="190">
        <f>+N10+AA12+AA16</f>
        <v>0</v>
      </c>
      <c r="O4" s="251" t="s">
        <v>36</v>
      </c>
      <c r="P4" s="251" t="s">
        <v>37</v>
      </c>
      <c r="Q4" s="251" t="s">
        <v>38</v>
      </c>
      <c r="R4" s="251" t="s">
        <v>39</v>
      </c>
      <c r="S4" s="251" t="s">
        <v>40</v>
      </c>
      <c r="T4" s="251" t="s">
        <v>41</v>
      </c>
      <c r="U4" s="251" t="s">
        <v>42</v>
      </c>
      <c r="V4" s="251" t="s">
        <v>43</v>
      </c>
      <c r="W4" s="251" t="s">
        <v>44</v>
      </c>
      <c r="X4" s="251" t="s">
        <v>45</v>
      </c>
      <c r="Y4" s="251" t="s">
        <v>46</v>
      </c>
      <c r="Z4" s="251" t="s">
        <v>47</v>
      </c>
      <c r="AA4" s="1209" t="s">
        <v>255</v>
      </c>
      <c r="AB4" s="1210"/>
    </row>
    <row r="5" spans="1:28" ht="13.35" customHeight="1">
      <c r="A5" s="50" t="s">
        <v>5</v>
      </c>
      <c r="B5" s="141"/>
      <c r="C5" s="80"/>
      <c r="D5" s="93"/>
      <c r="E5" s="226"/>
      <c r="F5" s="89"/>
      <c r="G5" s="81"/>
      <c r="H5" s="82"/>
      <c r="I5" s="83" t="str">
        <f t="shared" si="2"/>
        <v/>
      </c>
      <c r="J5" s="361" t="str">
        <f t="shared" si="3"/>
        <v/>
      </c>
      <c r="K5" s="200">
        <v>2</v>
      </c>
      <c r="L5" s="133">
        <f t="shared" ref="L5:L44" si="4">IF(B5&lt;$O$2,0,IF(B5&lt;$P$2,1,IF(B5&lt;$Q$2,2,IF(B5&lt;$R$2,3,IF(B5&lt;$S$2,4,IF(B5&lt;$T$2,5,IF(B5&lt;$U$2,6,IF(B5&lt;$V$2,7,IF(B5&lt;$W$2,8,IF(B5&lt;$X$2,9,IF(B5&lt;$Y$2,10,IF(B5&lt;$Z$2,11,IF(B5&lt;=$Z$3,12,0)))))))))))))</f>
        <v>0</v>
      </c>
      <c r="M5" s="135" t="s">
        <v>5</v>
      </c>
      <c r="O5" s="252">
        <f>SUMIFS($G$3:$G$47,$L$3:$L$47,1,$F$3:$F$47,"Konto")</f>
        <v>0</v>
      </c>
      <c r="P5" s="252">
        <f>SUMIFS($G$3:$G$47,$L$3:$L$47,2,$F$3:$F$47,"Konto")</f>
        <v>0</v>
      </c>
      <c r="Q5" s="252">
        <f>SUMIFS($G$3:$G$47,$L$3:$L$47,3,$F$3:$F$47,"Konto")</f>
        <v>0</v>
      </c>
      <c r="R5" s="252">
        <f>SUMIFS($G$3:$G$47,$L$3:$L$47,4,$F$3:$F$47,"Konto")</f>
        <v>0</v>
      </c>
      <c r="S5" s="252">
        <f>SUMIFS($G$3:$G$47,$L$3:$L$47,5,$F$3:$F$47,"Konto")</f>
        <v>0</v>
      </c>
      <c r="T5" s="252">
        <f>SUMIFS($G$3:$G$47,$L$3:$L$47,6,$F$3:$F$47,"Konto")</f>
        <v>0</v>
      </c>
      <c r="U5" s="252">
        <f>SUMIFS($G$3:$G$47,$L$3:$L$47,7,$F$3:$F$47,"Konto")</f>
        <v>0</v>
      </c>
      <c r="V5" s="252">
        <f>SUMIFS($G$3:$G$47,$L$3:$L$47,8,$F$3:$F$47,"Konto")</f>
        <v>0</v>
      </c>
      <c r="W5" s="252">
        <f>SUMIFS($G$3:$G$47,$L$3:$L$47,9,$F$3:$F$47,"Konto")</f>
        <v>0</v>
      </c>
      <c r="X5" s="252">
        <f>SUMIFS($G$3:$G$47,$L$3:$L$47,10,$F$3:$F$47,"Konto")</f>
        <v>0</v>
      </c>
      <c r="Y5" s="252">
        <f>SUMIFS($G$3:$G$47,$L$3:$L$47,11,$F$3:$F$47,"Konto")</f>
        <v>0</v>
      </c>
      <c r="Z5" s="252">
        <f>SUMIFS($G$3:$G$47,$L$3:$L$47,12,$F$3:$F$47,"Konto")</f>
        <v>0</v>
      </c>
      <c r="AA5" s="253">
        <f>SUM(O5:Z5)</f>
        <v>0</v>
      </c>
      <c r="AB5" s="254" t="s">
        <v>140</v>
      </c>
    </row>
    <row r="6" spans="1:28" ht="13.35" customHeight="1">
      <c r="A6" s="50" t="s">
        <v>5</v>
      </c>
      <c r="B6" s="141"/>
      <c r="C6" s="80"/>
      <c r="D6" s="93"/>
      <c r="E6" s="226"/>
      <c r="F6" s="89"/>
      <c r="G6" s="81"/>
      <c r="H6" s="82"/>
      <c r="I6" s="83" t="str">
        <f t="shared" si="2"/>
        <v/>
      </c>
      <c r="J6" s="361" t="str">
        <f t="shared" si="3"/>
        <v/>
      </c>
      <c r="K6" s="200">
        <v>3</v>
      </c>
      <c r="L6" s="133">
        <f t="shared" si="4"/>
        <v>0</v>
      </c>
      <c r="M6" s="135" t="s">
        <v>5</v>
      </c>
      <c r="N6" s="190"/>
      <c r="O6" s="252">
        <f>SUMIFS($G$3:$G$47,$L$3:$L$47,1,$F$3:$F$47,"Kreditkarte")</f>
        <v>0</v>
      </c>
      <c r="P6" s="252">
        <f>SUMIFS($G$3:$G$47,$L$3:$L$47,2,$F$3:$F$47,"Kreditkarte")</f>
        <v>0</v>
      </c>
      <c r="Q6" s="252">
        <f>SUMIFS($G$3:$G$47,$L$3:$L$47,3,$F$3:$F$47,"Kreditkarte")</f>
        <v>0</v>
      </c>
      <c r="R6" s="252">
        <f>SUMIFS($G$3:$G$47,$L$3:$L$47,4,$F$3:$F$47,"Kreditkarte")</f>
        <v>0</v>
      </c>
      <c r="S6" s="252">
        <f>SUMIFS($G$3:$G$47,$L$3:$L$47,5,$F$3:$F$47,"Kreditkarte")</f>
        <v>0</v>
      </c>
      <c r="T6" s="252">
        <f>SUMIFS($G$3:$G$47,$L$3:$L$47,6,$F$3:$F$47,"Kreditkarte")</f>
        <v>0</v>
      </c>
      <c r="U6" s="252">
        <f>SUMIFS($G$3:$G$47,$L$3:$L$47,7,$F$3:$F$47,"Kreditkarte")</f>
        <v>0</v>
      </c>
      <c r="V6" s="252">
        <f>SUMIFS($G$3:$G$47,$L$3:$L$47,8,$F$3:$F$47,"Kreditkarte")</f>
        <v>0</v>
      </c>
      <c r="W6" s="252">
        <f>SUMIFS($G$3:$G$47,$L$3:$L$47,9,$F$3:$F$47,"Kreditkarte")</f>
        <v>0</v>
      </c>
      <c r="X6" s="252">
        <f>SUMIFS($G$3:$G$47,$L$3:$L$47,10,$F$3:$F$47,"Kreditkarte")</f>
        <v>0</v>
      </c>
      <c r="Y6" s="252">
        <f>SUMIFS($G$3:$G$47,$L$3:$L$47,11,$F$3:$F$47,"Kreditkarte")</f>
        <v>0</v>
      </c>
      <c r="Z6" s="252">
        <f>SUMIFS($G$3:$G$47,$L$3:$L$47,12,$F$3:$F$47,"Kreditkarte")</f>
        <v>0</v>
      </c>
      <c r="AA6" s="255">
        <f t="shared" ref="AA6:AA8" si="5">SUM(O6:Z6)</f>
        <v>0</v>
      </c>
      <c r="AB6" s="256" t="s">
        <v>142</v>
      </c>
    </row>
    <row r="7" spans="1:28" ht="13.35" customHeight="1">
      <c r="A7" s="50" t="s">
        <v>5</v>
      </c>
      <c r="B7" s="141"/>
      <c r="C7" s="80"/>
      <c r="D7" s="93"/>
      <c r="E7" s="226"/>
      <c r="F7" s="89"/>
      <c r="G7" s="81"/>
      <c r="H7" s="82"/>
      <c r="I7" s="83" t="str">
        <f t="shared" si="2"/>
        <v/>
      </c>
      <c r="J7" s="361" t="str">
        <f t="shared" si="3"/>
        <v/>
      </c>
      <c r="K7" s="200">
        <v>4</v>
      </c>
      <c r="L7" s="133">
        <f t="shared" si="4"/>
        <v>0</v>
      </c>
      <c r="M7" s="135" t="s">
        <v>5</v>
      </c>
      <c r="O7" s="252">
        <f>SUMIFS($G$3:$G$47,$L$3:$L$47,1,$F$3:$F$47,"Geldbeutel")</f>
        <v>0</v>
      </c>
      <c r="P7" s="252">
        <f>SUMIFS($G$3:$G$47,$L$3:$L$47,2,$F$3:$F$47,"Geldbeutel")</f>
        <v>0</v>
      </c>
      <c r="Q7" s="252">
        <f>SUMIFS($G$3:$G$47,$L$3:$L$47,3,$F$3:$F$47,"Geldbeutel")</f>
        <v>0</v>
      </c>
      <c r="R7" s="252">
        <f>SUMIFS($G$3:$G$47,$L$3:$L$47,4,$F$3:$F$47,"Geldbeutel")</f>
        <v>0</v>
      </c>
      <c r="S7" s="252">
        <f>SUMIFS($G$3:$G$47,$L$3:$L$47,5,$F$3:$F$47,"Geldbeutel")</f>
        <v>0</v>
      </c>
      <c r="T7" s="252">
        <f>SUMIFS($G$3:$G$47,$L$3:$L$47,6,$F$3:$F$47,"Geldbeutel")</f>
        <v>0</v>
      </c>
      <c r="U7" s="252">
        <f>SUMIFS($G$3:$G$47,$L$3:$L$47,7,$F$3:$F$47,"Geldbeutel")</f>
        <v>0</v>
      </c>
      <c r="V7" s="252">
        <f>SUMIFS($G$3:$G$47,$L$3:$L$47,8,$F$3:$F$47,"Geldbeutel")</f>
        <v>0</v>
      </c>
      <c r="W7" s="252">
        <f>SUMIFS($G$3:$G$47,$L$3:$L$47,9,$F$3:$F$47,"Geldbeutel")</f>
        <v>0</v>
      </c>
      <c r="X7" s="252">
        <f>SUMIFS($G$3:$G$47,$L$3:$L$47,10,$F$3:$F$47,"Geldbeutel")</f>
        <v>0</v>
      </c>
      <c r="Y7" s="252">
        <f>SUMIFS($G$3:$G$47,$L$3:$L$47,11,$F$3:$F$47,"Geldbeutel")</f>
        <v>0</v>
      </c>
      <c r="Z7" s="252">
        <f>SUMIFS($G$3:$G$47,$L$3:$L$47,12,$F$3:$F$47,"Geldbeutel")</f>
        <v>0</v>
      </c>
      <c r="AA7" s="253">
        <f t="shared" si="5"/>
        <v>0</v>
      </c>
      <c r="AB7" s="254" t="s">
        <v>139</v>
      </c>
    </row>
    <row r="8" spans="1:28" ht="13.35" customHeight="1">
      <c r="A8" s="50" t="s">
        <v>5</v>
      </c>
      <c r="B8" s="141"/>
      <c r="C8" s="80"/>
      <c r="D8" s="93"/>
      <c r="E8" s="226"/>
      <c r="F8" s="89"/>
      <c r="G8" s="81"/>
      <c r="H8" s="82"/>
      <c r="I8" s="83" t="str">
        <f t="shared" si="2"/>
        <v/>
      </c>
      <c r="J8" s="361" t="str">
        <f t="shared" si="3"/>
        <v/>
      </c>
      <c r="K8" s="200">
        <v>5</v>
      </c>
      <c r="L8" s="133">
        <f t="shared" si="4"/>
        <v>0</v>
      </c>
      <c r="M8" s="135" t="s">
        <v>5</v>
      </c>
      <c r="O8" s="252">
        <f>SUMIFS($G$3:$G$47,$L$3:$L$47,1,$F$3:$F$47,"X")</f>
        <v>0</v>
      </c>
      <c r="P8" s="252">
        <f>SUMIFS($G$3:$G$47,$L$3:$L$47,2,$F$3:$F$47,"X")</f>
        <v>0</v>
      </c>
      <c r="Q8" s="252">
        <f>SUMIFS($G$3:$G$47,$L$3:$L$47,3,$F$3:$F$47,"X")</f>
        <v>0</v>
      </c>
      <c r="R8" s="252">
        <f>SUMIFS($G$3:$G$47,$L$3:$L$47,4,$F$3:$F$47,"X")</f>
        <v>0</v>
      </c>
      <c r="S8" s="252">
        <f>SUMIFS($G$3:$G$47,$L$3:$L$47,5,$F$3:$F$47,"X")</f>
        <v>0</v>
      </c>
      <c r="T8" s="252">
        <f>SUMIFS($G$3:$G$47,$L$3:$L$47,6,$F$3:$F$47,"X")</f>
        <v>0</v>
      </c>
      <c r="U8" s="252">
        <f>SUMIFS($G$3:$G$47,$L$3:$L$47,7,$F$3:$F$47,"X")</f>
        <v>0</v>
      </c>
      <c r="V8" s="252">
        <f>SUMIFS($G$3:$G$47,$L$3:$L$47,8,$F$3:$F$47,"X")</f>
        <v>0</v>
      </c>
      <c r="W8" s="252">
        <f>SUMIFS($G$3:$G$47,$L$3:$L$47,9,$F$3:$F$47,"X")</f>
        <v>0</v>
      </c>
      <c r="X8" s="252">
        <f>SUMIFS($G$3:$G$47,$L$3:$L$47,10,$F$3:$F$47,"X")</f>
        <v>0</v>
      </c>
      <c r="Y8" s="252">
        <f>SUMIFS($G$3:$G$47,$L$3:$L$47,11,$F$3:$F$47,"X")</f>
        <v>0</v>
      </c>
      <c r="Z8" s="252">
        <f>SUMIFS($G$3:$G$47,$L$3:$L$47,12,$F$3:$F$47,"X")</f>
        <v>0</v>
      </c>
      <c r="AA8" s="255">
        <f t="shared" si="5"/>
        <v>0</v>
      </c>
      <c r="AB8" s="256" t="s">
        <v>192</v>
      </c>
    </row>
    <row r="9" spans="1:28" ht="13.35" customHeight="1">
      <c r="A9" s="50" t="s">
        <v>5</v>
      </c>
      <c r="B9" s="141"/>
      <c r="C9" s="80"/>
      <c r="D9" s="93"/>
      <c r="E9" s="226"/>
      <c r="F9" s="89"/>
      <c r="G9" s="81"/>
      <c r="H9" s="82"/>
      <c r="I9" s="83" t="str">
        <f t="shared" si="2"/>
        <v/>
      </c>
      <c r="J9" s="361" t="str">
        <f t="shared" si="3"/>
        <v/>
      </c>
      <c r="K9" s="200">
        <v>6</v>
      </c>
      <c r="L9" s="133">
        <f t="shared" si="4"/>
        <v>0</v>
      </c>
      <c r="M9" s="135" t="s">
        <v>5</v>
      </c>
      <c r="N9" s="191">
        <f>IF(OR(AND(AA14&lt;&gt;0,B48="x"),(O14+AA13)&lt;&gt;H48),1,0)</f>
        <v>0</v>
      </c>
      <c r="O9" s="257">
        <f>SUM(O5:O8)</f>
        <v>0</v>
      </c>
      <c r="P9" s="257">
        <f t="shared" ref="P9:Z9" si="6">SUM(P5:P8)</f>
        <v>0</v>
      </c>
      <c r="Q9" s="257">
        <f t="shared" si="6"/>
        <v>0</v>
      </c>
      <c r="R9" s="257">
        <f t="shared" si="6"/>
        <v>0</v>
      </c>
      <c r="S9" s="257">
        <f t="shared" si="6"/>
        <v>0</v>
      </c>
      <c r="T9" s="257">
        <f t="shared" si="6"/>
        <v>0</v>
      </c>
      <c r="U9" s="257">
        <f t="shared" si="6"/>
        <v>0</v>
      </c>
      <c r="V9" s="257">
        <f t="shared" si="6"/>
        <v>0</v>
      </c>
      <c r="W9" s="257">
        <f t="shared" si="6"/>
        <v>0</v>
      </c>
      <c r="X9" s="257">
        <f t="shared" si="6"/>
        <v>0</v>
      </c>
      <c r="Y9" s="257">
        <f t="shared" si="6"/>
        <v>0</v>
      </c>
      <c r="Z9" s="257">
        <f t="shared" si="6"/>
        <v>0</v>
      </c>
      <c r="AA9" s="1211" t="s">
        <v>197</v>
      </c>
      <c r="AB9" s="1212"/>
    </row>
    <row r="10" spans="1:28" ht="13.35" customHeight="1">
      <c r="A10" s="50" t="s">
        <v>5</v>
      </c>
      <c r="B10" s="141"/>
      <c r="C10" s="80"/>
      <c r="D10" s="93"/>
      <c r="E10" s="226"/>
      <c r="F10" s="89"/>
      <c r="G10" s="81"/>
      <c r="H10" s="82"/>
      <c r="I10" s="83" t="str">
        <f t="shared" si="2"/>
        <v/>
      </c>
      <c r="J10" s="361" t="str">
        <f t="shared" si="3"/>
        <v/>
      </c>
      <c r="K10" s="200">
        <v>7</v>
      </c>
      <c r="L10" s="133">
        <f t="shared" si="4"/>
        <v>0</v>
      </c>
      <c r="M10" s="135" t="s">
        <v>5</v>
      </c>
      <c r="N10" s="259">
        <f>IF(O10+AA10&lt;&gt;G48,1,0)</f>
        <v>0</v>
      </c>
      <c r="O10" s="1230">
        <f>SUM(O5:Z8)</f>
        <v>0</v>
      </c>
      <c r="P10" s="1231"/>
      <c r="Q10" s="1231"/>
      <c r="R10" s="1231"/>
      <c r="S10" s="1231"/>
      <c r="T10" s="1231"/>
      <c r="U10" s="1231"/>
      <c r="V10" s="1231"/>
      <c r="W10" s="1231"/>
      <c r="X10" s="1231"/>
      <c r="Y10" s="1231"/>
      <c r="Z10" s="1232"/>
      <c r="AA10" s="292">
        <f>+G48-AA7-AA6-AA5-AA8</f>
        <v>0</v>
      </c>
      <c r="AB10" s="293" t="s">
        <v>205</v>
      </c>
    </row>
    <row r="11" spans="1:28" ht="13.35" customHeight="1">
      <c r="A11" s="50" t="s">
        <v>5</v>
      </c>
      <c r="B11" s="141"/>
      <c r="C11" s="80"/>
      <c r="D11" s="93"/>
      <c r="E11" s="226"/>
      <c r="F11" s="89"/>
      <c r="G11" s="81"/>
      <c r="H11" s="82"/>
      <c r="I11" s="83" t="str">
        <f t="shared" si="2"/>
        <v/>
      </c>
      <c r="J11" s="361" t="str">
        <f t="shared" si="3"/>
        <v/>
      </c>
      <c r="K11" s="200">
        <v>8</v>
      </c>
      <c r="L11" s="133">
        <f t="shared" si="4"/>
        <v>0</v>
      </c>
      <c r="M11" s="135" t="s">
        <v>5</v>
      </c>
      <c r="O11" s="1219" t="str">
        <f>IF(N4&gt;0,"Fehler!","")</f>
        <v/>
      </c>
      <c r="P11" s="1219"/>
      <c r="Q11" s="1219"/>
      <c r="R11" s="1219"/>
      <c r="S11" s="1219"/>
      <c r="T11" s="1219"/>
      <c r="U11" s="1219"/>
      <c r="V11" s="1219"/>
      <c r="W11" s="1219"/>
      <c r="X11" s="1219"/>
      <c r="Y11" s="1219"/>
      <c r="Z11" s="1219"/>
    </row>
    <row r="12" spans="1:28" ht="13.35" customHeight="1">
      <c r="A12" s="50" t="s">
        <v>5</v>
      </c>
      <c r="B12" s="141"/>
      <c r="C12" s="80"/>
      <c r="D12" s="93"/>
      <c r="E12" s="226"/>
      <c r="F12" s="89"/>
      <c r="G12" s="81"/>
      <c r="H12" s="82"/>
      <c r="I12" s="83" t="str">
        <f t="shared" si="2"/>
        <v/>
      </c>
      <c r="J12" s="361" t="str">
        <f t="shared" si="3"/>
        <v/>
      </c>
      <c r="K12" s="200">
        <v>9</v>
      </c>
      <c r="L12" s="133">
        <f t="shared" si="4"/>
        <v>0</v>
      </c>
      <c r="M12" s="135" t="s">
        <v>5</v>
      </c>
      <c r="O12" s="203" t="s">
        <v>36</v>
      </c>
      <c r="P12" s="203" t="s">
        <v>37</v>
      </c>
      <c r="Q12" s="203" t="s">
        <v>38</v>
      </c>
      <c r="R12" s="203" t="s">
        <v>39</v>
      </c>
      <c r="S12" s="203" t="s">
        <v>40</v>
      </c>
      <c r="T12" s="203" t="s">
        <v>41</v>
      </c>
      <c r="U12" s="203" t="s">
        <v>42</v>
      </c>
      <c r="V12" s="203" t="s">
        <v>43</v>
      </c>
      <c r="W12" s="203" t="s">
        <v>44</v>
      </c>
      <c r="X12" s="203" t="s">
        <v>45</v>
      </c>
      <c r="Y12" s="203" t="s">
        <v>46</v>
      </c>
      <c r="Z12" s="203" t="s">
        <v>47</v>
      </c>
      <c r="AA12" s="221">
        <f>IF(O14+AA13&lt;&gt;H48,1,0)</f>
        <v>0</v>
      </c>
    </row>
    <row r="13" spans="1:28" ht="13.35" customHeight="1">
      <c r="A13" s="50" t="s">
        <v>5</v>
      </c>
      <c r="B13" s="141"/>
      <c r="C13" s="80"/>
      <c r="D13" s="93"/>
      <c r="E13" s="226"/>
      <c r="F13" s="89"/>
      <c r="G13" s="81"/>
      <c r="H13" s="82"/>
      <c r="I13" s="83" t="str">
        <f t="shared" ref="I13" si="7">IF(G13&lt;&gt;"",+G13-G13/(1+H13/100),"")</f>
        <v/>
      </c>
      <c r="J13" s="361" t="str">
        <f t="shared" si="3"/>
        <v/>
      </c>
      <c r="K13" s="200">
        <v>10</v>
      </c>
      <c r="L13" s="133">
        <f t="shared" si="4"/>
        <v>0</v>
      </c>
      <c r="M13" s="135" t="s">
        <v>5</v>
      </c>
      <c r="O13" s="187">
        <f>SUMIF($L$3:$L$47,1,$I$3:$I$47)</f>
        <v>0</v>
      </c>
      <c r="P13" s="187">
        <f>SUMIF($L$3:$L$47,2,$I$3:$I$47)</f>
        <v>0</v>
      </c>
      <c r="Q13" s="187">
        <f>SUMIF($L$3:$L$47,3,$I$3:$I$47)</f>
        <v>0</v>
      </c>
      <c r="R13" s="187">
        <f>SUMIF($L$3:$L$47,4,$I$3:$I$47)</f>
        <v>0</v>
      </c>
      <c r="S13" s="187">
        <f>SUMIF($L$3:$L$47,5,$I$3:$I$47)</f>
        <v>0</v>
      </c>
      <c r="T13" s="187">
        <f>SUMIF($L$3:$L$47,6,$I$3:$I$47)</f>
        <v>0</v>
      </c>
      <c r="U13" s="187">
        <f>SUMIF($L$3:$L$47,7,$I$3:$I$47)</f>
        <v>0</v>
      </c>
      <c r="V13" s="187">
        <f>SUMIF($L$3:$L$47,8,$I$3:$I$47)</f>
        <v>0</v>
      </c>
      <c r="W13" s="187">
        <f>SUMIF($L$3:$L$47,9,$I$3:$I$47)</f>
        <v>0</v>
      </c>
      <c r="X13" s="187">
        <f>SUMIF($L$3:$L$47,10,$I$3:$I$47)</f>
        <v>0</v>
      </c>
      <c r="Y13" s="187">
        <f>SUMIF($L$3:$L$47,11,$I$3:$I$47)</f>
        <v>0</v>
      </c>
      <c r="Z13" s="187">
        <f>SUMIF($L$3:$L$47,12,$I$3:$I$47)</f>
        <v>0</v>
      </c>
      <c r="AA13" s="1220">
        <f>SUMIF($L$3:$L$47,0,$I$3:$I$47)</f>
        <v>0</v>
      </c>
      <c r="AB13" s="1221"/>
    </row>
    <row r="14" spans="1:28" ht="13.35" customHeight="1">
      <c r="A14" s="50" t="s">
        <v>5</v>
      </c>
      <c r="B14" s="141"/>
      <c r="C14" s="80"/>
      <c r="D14" s="93"/>
      <c r="E14" s="226"/>
      <c r="F14" s="89"/>
      <c r="G14" s="81"/>
      <c r="H14" s="82"/>
      <c r="I14" s="83" t="str">
        <f>IF(G14&lt;&gt;"",+G14-G14/(1+H14/100),"")</f>
        <v/>
      </c>
      <c r="J14" s="361" t="str">
        <f t="shared" si="3"/>
        <v/>
      </c>
      <c r="K14" s="200">
        <v>11</v>
      </c>
      <c r="L14" s="133">
        <f t="shared" si="4"/>
        <v>0</v>
      </c>
      <c r="M14" s="135" t="s">
        <v>5</v>
      </c>
      <c r="O14" s="1299">
        <f>SUM(O13:Z13)</f>
        <v>0</v>
      </c>
      <c r="P14" s="1300"/>
      <c r="Q14" s="1300"/>
      <c r="R14" s="1300"/>
      <c r="S14" s="1300"/>
      <c r="T14" s="1300"/>
      <c r="U14" s="1300"/>
      <c r="V14" s="1300"/>
      <c r="W14" s="1300"/>
      <c r="X14" s="1300"/>
      <c r="Y14" s="1300"/>
      <c r="Z14" s="1301"/>
      <c r="AA14" s="1222">
        <f>SUM(O13:Z13)+AA13</f>
        <v>0</v>
      </c>
      <c r="AB14" s="1223"/>
    </row>
    <row r="15" spans="1:28" ht="13.35" customHeight="1">
      <c r="A15" s="50" t="s">
        <v>5</v>
      </c>
      <c r="B15" s="141"/>
      <c r="C15" s="260"/>
      <c r="D15" s="93"/>
      <c r="E15" s="226"/>
      <c r="F15" s="89"/>
      <c r="G15" s="81"/>
      <c r="H15" s="82"/>
      <c r="I15" s="83" t="str">
        <f>IF(G15&lt;&gt;"",+G15-G15/(1+H15/100),"")</f>
        <v/>
      </c>
      <c r="J15" s="361" t="str">
        <f t="shared" si="3"/>
        <v/>
      </c>
      <c r="K15" s="200">
        <v>12</v>
      </c>
      <c r="L15" s="133">
        <f t="shared" si="4"/>
        <v>0</v>
      </c>
      <c r="M15" s="135" t="s">
        <v>5</v>
      </c>
      <c r="O15" s="244"/>
      <c r="P15" s="244"/>
      <c r="Q15" s="244"/>
      <c r="R15" s="244"/>
      <c r="S15" s="244"/>
      <c r="T15" s="244"/>
      <c r="U15" s="244"/>
      <c r="V15" s="244"/>
      <c r="W15" s="244"/>
      <c r="X15" s="244"/>
      <c r="Y15" s="244"/>
      <c r="Z15" s="244"/>
      <c r="AA15" s="244"/>
      <c r="AB15" s="244"/>
    </row>
    <row r="16" spans="1:28" ht="13.35" customHeight="1">
      <c r="A16" s="50" t="s">
        <v>5</v>
      </c>
      <c r="B16" s="141"/>
      <c r="C16" s="80"/>
      <c r="D16" s="93"/>
      <c r="E16" s="226"/>
      <c r="F16" s="89"/>
      <c r="G16" s="81"/>
      <c r="H16" s="82"/>
      <c r="I16" s="83" t="str">
        <f>IF(G16&lt;&gt;"",+G16-G16/(1+H16/100),"")</f>
        <v/>
      </c>
      <c r="J16" s="361" t="str">
        <f t="shared" si="3"/>
        <v/>
      </c>
      <c r="K16" s="200">
        <v>13</v>
      </c>
      <c r="L16" s="133">
        <f t="shared" si="4"/>
        <v>0</v>
      </c>
      <c r="M16" s="135" t="s">
        <v>5</v>
      </c>
      <c r="O16" s="244"/>
      <c r="P16" s="244"/>
      <c r="Q16" s="244"/>
      <c r="R16" s="244"/>
      <c r="S16" s="244"/>
      <c r="T16" s="244"/>
      <c r="U16" s="244"/>
      <c r="V16" s="244"/>
      <c r="W16" s="244"/>
      <c r="X16" s="244"/>
      <c r="Y16" s="244"/>
      <c r="Z16" s="244"/>
      <c r="AA16" s="244"/>
      <c r="AB16" s="244"/>
    </row>
    <row r="17" spans="1:28" ht="13.35" customHeight="1">
      <c r="A17" s="50" t="s">
        <v>5</v>
      </c>
      <c r="B17" s="141"/>
      <c r="C17" s="80"/>
      <c r="D17" s="93"/>
      <c r="E17" s="226"/>
      <c r="F17" s="89"/>
      <c r="G17" s="81"/>
      <c r="H17" s="82"/>
      <c r="I17" s="83" t="str">
        <f>IF(G17&lt;&gt;"",+G17-G17/(1+H17/100),"")</f>
        <v/>
      </c>
      <c r="J17" s="361" t="str">
        <f t="shared" si="3"/>
        <v/>
      </c>
      <c r="K17" s="200">
        <v>14</v>
      </c>
      <c r="L17" s="133">
        <f t="shared" si="4"/>
        <v>0</v>
      </c>
      <c r="M17" s="135" t="s">
        <v>5</v>
      </c>
      <c r="O17" s="244"/>
      <c r="P17" s="244"/>
      <c r="Q17" s="244"/>
      <c r="R17" s="244"/>
      <c r="S17" s="244"/>
      <c r="T17" s="244"/>
      <c r="U17" s="244"/>
      <c r="V17" s="244"/>
      <c r="W17" s="244"/>
      <c r="X17" s="244"/>
      <c r="Y17" s="244"/>
      <c r="Z17" s="244"/>
      <c r="AA17" s="244"/>
      <c r="AB17" s="244"/>
    </row>
    <row r="18" spans="1:28" ht="13.35" customHeight="1">
      <c r="A18" s="50" t="s">
        <v>5</v>
      </c>
      <c r="B18" s="141"/>
      <c r="C18" s="80"/>
      <c r="D18" s="93"/>
      <c r="E18" s="226"/>
      <c r="F18" s="89"/>
      <c r="G18" s="81"/>
      <c r="H18" s="82"/>
      <c r="I18" s="83" t="str">
        <f>IF(G18&lt;&gt;"",+G18-G18/(1+H18/100),"")</f>
        <v/>
      </c>
      <c r="J18" s="361" t="str">
        <f t="shared" si="3"/>
        <v/>
      </c>
      <c r="K18" s="200">
        <v>15</v>
      </c>
      <c r="L18" s="133">
        <f t="shared" si="4"/>
        <v>0</v>
      </c>
      <c r="M18" s="135" t="s">
        <v>5</v>
      </c>
      <c r="O18" s="244"/>
      <c r="P18" s="244"/>
      <c r="Q18" s="244"/>
      <c r="R18" s="244"/>
      <c r="S18" s="244"/>
      <c r="T18" s="244"/>
      <c r="U18" s="244"/>
      <c r="V18" s="244"/>
      <c r="W18" s="244"/>
      <c r="X18" s="244"/>
      <c r="Y18" s="244"/>
      <c r="Z18" s="244"/>
      <c r="AA18" s="244"/>
      <c r="AB18" s="244"/>
    </row>
    <row r="19" spans="1:28" ht="13.35" customHeight="1">
      <c r="A19" s="50" t="s">
        <v>5</v>
      </c>
      <c r="B19" s="141"/>
      <c r="C19" s="80"/>
      <c r="D19" s="93"/>
      <c r="E19" s="226"/>
      <c r="F19" s="89"/>
      <c r="G19" s="81"/>
      <c r="H19" s="82"/>
      <c r="I19" s="83" t="str">
        <f t="shared" ref="I19:I44" si="8">IF(G19&lt;&gt;"",+G19-G19/(1+H19/100),"")</f>
        <v/>
      </c>
      <c r="J19" s="361" t="str">
        <f t="shared" si="3"/>
        <v/>
      </c>
      <c r="K19" s="200">
        <v>16</v>
      </c>
      <c r="L19" s="133">
        <f t="shared" si="4"/>
        <v>0</v>
      </c>
      <c r="M19" s="135" t="s">
        <v>5</v>
      </c>
      <c r="O19" s="244"/>
      <c r="P19" s="244"/>
      <c r="Q19" s="244"/>
      <c r="R19" s="244"/>
      <c r="S19" s="244"/>
      <c r="T19" s="244"/>
      <c r="U19" s="244"/>
      <c r="V19" s="244"/>
      <c r="W19" s="244"/>
      <c r="X19" s="244"/>
      <c r="Y19" s="244"/>
      <c r="Z19" s="244"/>
      <c r="AA19" s="244"/>
      <c r="AB19" s="244"/>
    </row>
    <row r="20" spans="1:28" ht="13.35" customHeight="1">
      <c r="A20" s="50" t="s">
        <v>5</v>
      </c>
      <c r="B20" s="141"/>
      <c r="C20" s="80"/>
      <c r="D20" s="93"/>
      <c r="E20" s="226"/>
      <c r="F20" s="89"/>
      <c r="G20" s="81"/>
      <c r="H20" s="82"/>
      <c r="I20" s="83" t="str">
        <f t="shared" si="8"/>
        <v/>
      </c>
      <c r="J20" s="361" t="str">
        <f t="shared" si="3"/>
        <v/>
      </c>
      <c r="K20" s="200">
        <v>17</v>
      </c>
      <c r="L20" s="133">
        <f t="shared" si="4"/>
        <v>0</v>
      </c>
      <c r="M20" s="135" t="s">
        <v>5</v>
      </c>
      <c r="O20" s="244"/>
      <c r="P20" s="244"/>
      <c r="Q20" s="244"/>
      <c r="R20" s="244"/>
      <c r="S20" s="244"/>
      <c r="T20" s="244"/>
      <c r="U20" s="244"/>
      <c r="V20" s="244"/>
      <c r="W20" s="244"/>
      <c r="X20" s="244"/>
      <c r="Y20" s="244"/>
      <c r="Z20" s="244"/>
      <c r="AA20" s="244"/>
      <c r="AB20" s="244"/>
    </row>
    <row r="21" spans="1:28" ht="13.35" customHeight="1">
      <c r="A21" s="50" t="s">
        <v>5</v>
      </c>
      <c r="B21" s="141"/>
      <c r="C21" s="80"/>
      <c r="D21" s="93"/>
      <c r="E21" s="226"/>
      <c r="F21" s="89"/>
      <c r="G21" s="81"/>
      <c r="H21" s="82"/>
      <c r="I21" s="83" t="str">
        <f t="shared" si="8"/>
        <v/>
      </c>
      <c r="J21" s="361" t="str">
        <f t="shared" si="3"/>
        <v/>
      </c>
      <c r="K21" s="200">
        <v>18</v>
      </c>
      <c r="L21" s="133">
        <f t="shared" si="4"/>
        <v>0</v>
      </c>
      <c r="M21" s="135" t="s">
        <v>5</v>
      </c>
      <c r="O21" s="244"/>
      <c r="P21" s="244"/>
      <c r="Q21" s="244"/>
      <c r="R21" s="244"/>
      <c r="S21" s="244"/>
      <c r="T21" s="244"/>
      <c r="U21" s="244"/>
      <c r="V21" s="244"/>
      <c r="W21" s="244"/>
      <c r="X21" s="244"/>
      <c r="Y21" s="244"/>
      <c r="Z21" s="244"/>
      <c r="AA21" s="244"/>
      <c r="AB21" s="244"/>
    </row>
    <row r="22" spans="1:28" ht="13.35" customHeight="1">
      <c r="A22" s="50" t="s">
        <v>5</v>
      </c>
      <c r="B22" s="141"/>
      <c r="C22" s="80"/>
      <c r="D22" s="93"/>
      <c r="E22" s="226"/>
      <c r="F22" s="89"/>
      <c r="G22" s="81"/>
      <c r="H22" s="82"/>
      <c r="I22" s="83" t="str">
        <f t="shared" si="8"/>
        <v/>
      </c>
      <c r="J22" s="361" t="str">
        <f t="shared" si="3"/>
        <v/>
      </c>
      <c r="K22" s="200">
        <v>19</v>
      </c>
      <c r="L22" s="133">
        <f t="shared" si="4"/>
        <v>0</v>
      </c>
      <c r="M22" s="135" t="s">
        <v>5</v>
      </c>
      <c r="O22" s="244"/>
      <c r="P22" s="244"/>
      <c r="Q22" s="244"/>
      <c r="R22" s="244"/>
      <c r="S22" s="244"/>
      <c r="T22" s="244"/>
      <c r="U22" s="244"/>
      <c r="V22" s="244"/>
      <c r="W22" s="244"/>
      <c r="X22" s="244"/>
      <c r="Y22" s="244"/>
      <c r="Z22" s="244"/>
      <c r="AA22" s="244"/>
      <c r="AB22" s="244"/>
    </row>
    <row r="23" spans="1:28" ht="13.35" customHeight="1">
      <c r="A23" s="50" t="s">
        <v>5</v>
      </c>
      <c r="B23" s="141"/>
      <c r="C23" s="80"/>
      <c r="D23" s="94"/>
      <c r="E23" s="226"/>
      <c r="F23" s="89"/>
      <c r="G23" s="81"/>
      <c r="H23" s="82"/>
      <c r="I23" s="83" t="str">
        <f t="shared" si="8"/>
        <v/>
      </c>
      <c r="J23" s="361" t="str">
        <f t="shared" si="3"/>
        <v/>
      </c>
      <c r="K23" s="200">
        <v>20</v>
      </c>
      <c r="L23" s="133">
        <f t="shared" si="4"/>
        <v>0</v>
      </c>
      <c r="M23" s="135" t="s">
        <v>5</v>
      </c>
      <c r="O23" s="244"/>
      <c r="P23" s="244"/>
      <c r="Q23" s="244"/>
      <c r="R23" s="244"/>
      <c r="S23" s="244"/>
      <c r="T23" s="244"/>
      <c r="U23" s="244"/>
      <c r="V23" s="244"/>
      <c r="W23" s="244"/>
      <c r="X23" s="244"/>
      <c r="Y23" s="244"/>
      <c r="Z23" s="244"/>
      <c r="AA23" s="244"/>
      <c r="AB23" s="244"/>
    </row>
    <row r="24" spans="1:28" ht="13.35" customHeight="1">
      <c r="A24" s="50" t="s">
        <v>5</v>
      </c>
      <c r="B24" s="141"/>
      <c r="C24" s="80"/>
      <c r="D24" s="93"/>
      <c r="E24" s="226"/>
      <c r="F24" s="89"/>
      <c r="G24" s="81"/>
      <c r="H24" s="82"/>
      <c r="I24" s="83" t="str">
        <f t="shared" si="8"/>
        <v/>
      </c>
      <c r="J24" s="361" t="str">
        <f t="shared" si="3"/>
        <v/>
      </c>
      <c r="K24" s="200">
        <v>21</v>
      </c>
      <c r="L24" s="133">
        <f t="shared" si="4"/>
        <v>0</v>
      </c>
      <c r="M24" s="135" t="s">
        <v>5</v>
      </c>
      <c r="O24" s="244"/>
      <c r="P24" s="244"/>
      <c r="Q24" s="244"/>
      <c r="R24" s="244"/>
      <c r="S24" s="244"/>
      <c r="T24" s="244"/>
      <c r="U24" s="244"/>
      <c r="V24" s="244"/>
      <c r="W24" s="244"/>
      <c r="X24" s="244"/>
      <c r="Y24" s="244"/>
      <c r="Z24" s="244"/>
      <c r="AA24" s="244"/>
      <c r="AB24" s="244"/>
    </row>
    <row r="25" spans="1:28" ht="13.35" customHeight="1">
      <c r="A25" s="50" t="s">
        <v>5</v>
      </c>
      <c r="B25" s="141"/>
      <c r="C25" s="80"/>
      <c r="D25" s="93"/>
      <c r="E25" s="226"/>
      <c r="F25" s="89"/>
      <c r="G25" s="81"/>
      <c r="H25" s="82"/>
      <c r="I25" s="83" t="str">
        <f t="shared" si="8"/>
        <v/>
      </c>
      <c r="J25" s="361" t="str">
        <f t="shared" si="3"/>
        <v/>
      </c>
      <c r="K25" s="200">
        <v>22</v>
      </c>
      <c r="L25" s="133">
        <f t="shared" si="4"/>
        <v>0</v>
      </c>
      <c r="M25" s="135" t="s">
        <v>5</v>
      </c>
      <c r="O25" s="244"/>
      <c r="P25" s="244"/>
      <c r="Q25" s="244"/>
      <c r="R25" s="244"/>
      <c r="S25" s="244"/>
      <c r="T25" s="244"/>
      <c r="U25" s="244"/>
      <c r="V25" s="244"/>
      <c r="W25" s="244"/>
      <c r="X25" s="244"/>
      <c r="Y25" s="244"/>
      <c r="Z25" s="244"/>
      <c r="AA25" s="244"/>
      <c r="AB25" s="244"/>
    </row>
    <row r="26" spans="1:28" ht="13.35" customHeight="1">
      <c r="A26" s="50" t="s">
        <v>5</v>
      </c>
      <c r="B26" s="141"/>
      <c r="C26" s="80"/>
      <c r="D26" s="93"/>
      <c r="E26" s="226"/>
      <c r="F26" s="89"/>
      <c r="G26" s="81"/>
      <c r="H26" s="82"/>
      <c r="I26" s="83" t="str">
        <f t="shared" si="8"/>
        <v/>
      </c>
      <c r="J26" s="361" t="str">
        <f t="shared" si="3"/>
        <v/>
      </c>
      <c r="K26" s="200">
        <v>23</v>
      </c>
      <c r="L26" s="133">
        <f t="shared" si="4"/>
        <v>0</v>
      </c>
      <c r="M26" s="135" t="s">
        <v>5</v>
      </c>
      <c r="O26" s="244"/>
      <c r="P26" s="244"/>
      <c r="Q26" s="244"/>
      <c r="R26" s="244"/>
      <c r="S26" s="244"/>
      <c r="T26" s="244"/>
      <c r="U26" s="244"/>
      <c r="V26" s="244"/>
      <c r="W26" s="244"/>
      <c r="X26" s="244"/>
      <c r="Y26" s="244"/>
      <c r="Z26" s="244"/>
      <c r="AA26" s="244"/>
      <c r="AB26" s="244"/>
    </row>
    <row r="27" spans="1:28" ht="13.35" customHeight="1">
      <c r="A27" s="50" t="s">
        <v>5</v>
      </c>
      <c r="B27" s="141"/>
      <c r="C27" s="80"/>
      <c r="D27" s="93"/>
      <c r="E27" s="226"/>
      <c r="F27" s="89"/>
      <c r="G27" s="81"/>
      <c r="H27" s="82"/>
      <c r="I27" s="83" t="str">
        <f t="shared" si="8"/>
        <v/>
      </c>
      <c r="J27" s="361" t="str">
        <f t="shared" si="3"/>
        <v/>
      </c>
      <c r="K27" s="200">
        <v>24</v>
      </c>
      <c r="L27" s="133">
        <f t="shared" si="4"/>
        <v>0</v>
      </c>
      <c r="M27" s="135" t="s">
        <v>5</v>
      </c>
      <c r="O27" s="244"/>
      <c r="P27" s="244"/>
      <c r="Q27" s="244"/>
      <c r="R27" s="244"/>
      <c r="S27" s="244"/>
      <c r="T27" s="244"/>
      <c r="U27" s="244"/>
      <c r="V27" s="244"/>
      <c r="W27" s="244"/>
      <c r="X27" s="244"/>
      <c r="Y27" s="244"/>
      <c r="Z27" s="244"/>
      <c r="AA27" s="244"/>
      <c r="AB27" s="244"/>
    </row>
    <row r="28" spans="1:28" ht="13.35" customHeight="1">
      <c r="A28" s="50" t="s">
        <v>5</v>
      </c>
      <c r="B28" s="141"/>
      <c r="C28" s="80"/>
      <c r="D28" s="93"/>
      <c r="E28" s="226"/>
      <c r="F28" s="89"/>
      <c r="G28" s="81"/>
      <c r="H28" s="82"/>
      <c r="I28" s="83" t="str">
        <f t="shared" si="8"/>
        <v/>
      </c>
      <c r="J28" s="361" t="str">
        <f t="shared" si="3"/>
        <v/>
      </c>
      <c r="K28" s="200">
        <v>25</v>
      </c>
      <c r="L28" s="133">
        <f t="shared" si="4"/>
        <v>0</v>
      </c>
      <c r="M28" s="135" t="s">
        <v>5</v>
      </c>
      <c r="O28" s="244"/>
      <c r="P28" s="244"/>
      <c r="Q28" s="244"/>
      <c r="R28" s="244"/>
      <c r="S28" s="244"/>
      <c r="T28" s="244"/>
      <c r="U28" s="244"/>
      <c r="V28" s="244"/>
      <c r="W28" s="244"/>
      <c r="X28" s="244"/>
      <c r="Y28" s="244"/>
      <c r="Z28" s="244"/>
      <c r="AA28" s="244"/>
      <c r="AB28" s="244"/>
    </row>
    <row r="29" spans="1:28" ht="13.35" customHeight="1">
      <c r="A29" s="50" t="s">
        <v>5</v>
      </c>
      <c r="B29" s="141"/>
      <c r="C29" s="80"/>
      <c r="D29" s="93"/>
      <c r="E29" s="226"/>
      <c r="F29" s="89"/>
      <c r="G29" s="81"/>
      <c r="H29" s="82"/>
      <c r="I29" s="83" t="str">
        <f t="shared" si="8"/>
        <v/>
      </c>
      <c r="J29" s="361" t="str">
        <f t="shared" si="3"/>
        <v/>
      </c>
      <c r="K29" s="200">
        <v>26</v>
      </c>
      <c r="L29" s="133">
        <f t="shared" si="4"/>
        <v>0</v>
      </c>
      <c r="M29" s="135" t="s">
        <v>5</v>
      </c>
      <c r="O29" s="244"/>
      <c r="P29" s="244"/>
      <c r="Q29" s="244"/>
      <c r="R29" s="244"/>
      <c r="S29" s="244"/>
      <c r="T29" s="244"/>
      <c r="U29" s="244"/>
      <c r="V29" s="244"/>
      <c r="W29" s="244"/>
      <c r="X29" s="244"/>
      <c r="Y29" s="244"/>
      <c r="Z29" s="244"/>
      <c r="AA29" s="244"/>
      <c r="AB29" s="244"/>
    </row>
    <row r="30" spans="1:28" ht="13.35" customHeight="1">
      <c r="A30" s="50" t="s">
        <v>5</v>
      </c>
      <c r="B30" s="141"/>
      <c r="C30" s="80"/>
      <c r="D30" s="93"/>
      <c r="E30" s="226"/>
      <c r="F30" s="89"/>
      <c r="G30" s="81"/>
      <c r="H30" s="82"/>
      <c r="I30" s="83" t="str">
        <f t="shared" si="8"/>
        <v/>
      </c>
      <c r="J30" s="361" t="str">
        <f t="shared" si="3"/>
        <v/>
      </c>
      <c r="K30" s="200">
        <v>27</v>
      </c>
      <c r="L30" s="133">
        <f t="shared" si="4"/>
        <v>0</v>
      </c>
      <c r="M30" s="135" t="s">
        <v>5</v>
      </c>
      <c r="O30" s="244"/>
      <c r="P30" s="244"/>
      <c r="Q30" s="244"/>
      <c r="R30" s="244"/>
      <c r="S30" s="244"/>
      <c r="T30" s="244"/>
      <c r="U30" s="244"/>
      <c r="V30" s="244"/>
      <c r="W30" s="244"/>
      <c r="X30" s="244"/>
      <c r="Y30" s="244"/>
      <c r="Z30" s="244"/>
      <c r="AA30" s="244"/>
      <c r="AB30" s="244"/>
    </row>
    <row r="31" spans="1:28" ht="13.35" customHeight="1">
      <c r="A31" s="50" t="s">
        <v>5</v>
      </c>
      <c r="B31" s="141"/>
      <c r="C31" s="80"/>
      <c r="D31" s="93"/>
      <c r="E31" s="226"/>
      <c r="F31" s="89"/>
      <c r="G31" s="81"/>
      <c r="H31" s="82"/>
      <c r="I31" s="83" t="str">
        <f t="shared" si="8"/>
        <v/>
      </c>
      <c r="J31" s="361" t="str">
        <f t="shared" si="3"/>
        <v/>
      </c>
      <c r="K31" s="200">
        <v>28</v>
      </c>
      <c r="L31" s="133">
        <f t="shared" si="4"/>
        <v>0</v>
      </c>
      <c r="M31" s="135" t="s">
        <v>5</v>
      </c>
      <c r="O31" s="244"/>
      <c r="P31" s="244"/>
      <c r="Q31" s="244"/>
      <c r="R31" s="244"/>
      <c r="S31" s="244"/>
      <c r="T31" s="244"/>
      <c r="U31" s="244"/>
      <c r="V31" s="244"/>
      <c r="W31" s="244"/>
      <c r="X31" s="244"/>
      <c r="Y31" s="244"/>
      <c r="Z31" s="244"/>
      <c r="AA31" s="244"/>
      <c r="AB31" s="244"/>
    </row>
    <row r="32" spans="1:28" ht="13.35" customHeight="1">
      <c r="A32" s="50" t="s">
        <v>5</v>
      </c>
      <c r="B32" s="141"/>
      <c r="C32" s="80"/>
      <c r="D32" s="93"/>
      <c r="E32" s="226"/>
      <c r="F32" s="89"/>
      <c r="G32" s="81"/>
      <c r="H32" s="82"/>
      <c r="I32" s="83" t="str">
        <f t="shared" si="8"/>
        <v/>
      </c>
      <c r="J32" s="361" t="str">
        <f t="shared" si="3"/>
        <v/>
      </c>
      <c r="K32" s="200">
        <v>29</v>
      </c>
      <c r="L32" s="133">
        <f t="shared" si="4"/>
        <v>0</v>
      </c>
      <c r="M32" s="135" t="s">
        <v>5</v>
      </c>
      <c r="O32" s="244"/>
      <c r="P32" s="244"/>
      <c r="Q32" s="244"/>
      <c r="R32" s="244"/>
      <c r="S32" s="244"/>
      <c r="T32" s="244"/>
      <c r="U32" s="244"/>
      <c r="V32" s="244"/>
      <c r="W32" s="244"/>
      <c r="X32" s="244"/>
      <c r="Y32" s="244"/>
      <c r="Z32" s="244"/>
      <c r="AA32" s="244"/>
      <c r="AB32" s="244"/>
    </row>
    <row r="33" spans="1:28" ht="13.35" customHeight="1">
      <c r="A33" s="50" t="s">
        <v>5</v>
      </c>
      <c r="B33" s="141"/>
      <c r="C33" s="80"/>
      <c r="D33" s="93"/>
      <c r="E33" s="226"/>
      <c r="F33" s="89"/>
      <c r="G33" s="81"/>
      <c r="H33" s="82"/>
      <c r="I33" s="83" t="str">
        <f t="shared" si="8"/>
        <v/>
      </c>
      <c r="J33" s="361" t="str">
        <f t="shared" si="3"/>
        <v/>
      </c>
      <c r="K33" s="200">
        <v>30</v>
      </c>
      <c r="L33" s="133">
        <f t="shared" si="4"/>
        <v>0</v>
      </c>
      <c r="M33" s="135" t="s">
        <v>5</v>
      </c>
      <c r="O33" s="244"/>
      <c r="P33" s="244"/>
      <c r="Q33" s="244"/>
      <c r="R33" s="244"/>
      <c r="S33" s="244"/>
      <c r="T33" s="244"/>
      <c r="U33" s="244"/>
      <c r="V33" s="244"/>
      <c r="W33" s="244"/>
      <c r="X33" s="244"/>
      <c r="Y33" s="244"/>
      <c r="Z33" s="244"/>
      <c r="AA33" s="244"/>
      <c r="AB33" s="244"/>
    </row>
    <row r="34" spans="1:28" ht="13.35" customHeight="1">
      <c r="A34" s="50" t="s">
        <v>5</v>
      </c>
      <c r="B34" s="141"/>
      <c r="C34" s="80"/>
      <c r="D34" s="93"/>
      <c r="E34" s="226"/>
      <c r="F34" s="89"/>
      <c r="G34" s="81"/>
      <c r="H34" s="82"/>
      <c r="I34" s="83" t="str">
        <f t="shared" si="8"/>
        <v/>
      </c>
      <c r="J34" s="361" t="str">
        <f t="shared" si="3"/>
        <v/>
      </c>
      <c r="K34" s="200">
        <v>31</v>
      </c>
      <c r="L34" s="133">
        <f t="shared" si="4"/>
        <v>0</v>
      </c>
      <c r="M34" s="135" t="s">
        <v>5</v>
      </c>
      <c r="O34" s="244"/>
      <c r="P34" s="244"/>
      <c r="Q34" s="244"/>
      <c r="R34" s="244"/>
      <c r="S34" s="244"/>
      <c r="T34" s="244"/>
      <c r="U34" s="244"/>
      <c r="V34" s="244"/>
      <c r="W34" s="244"/>
      <c r="X34" s="244"/>
      <c r="Y34" s="244"/>
      <c r="Z34" s="244"/>
      <c r="AA34" s="244"/>
      <c r="AB34" s="244"/>
    </row>
    <row r="35" spans="1:28" ht="13.35" customHeight="1">
      <c r="A35" s="50" t="s">
        <v>5</v>
      </c>
      <c r="B35" s="141"/>
      <c r="C35" s="80"/>
      <c r="D35" s="93"/>
      <c r="E35" s="226"/>
      <c r="F35" s="89"/>
      <c r="G35" s="81"/>
      <c r="H35" s="82"/>
      <c r="I35" s="83" t="str">
        <f t="shared" si="8"/>
        <v/>
      </c>
      <c r="J35" s="361" t="str">
        <f t="shared" si="3"/>
        <v/>
      </c>
      <c r="K35" s="200">
        <v>32</v>
      </c>
      <c r="L35" s="133">
        <f t="shared" si="4"/>
        <v>0</v>
      </c>
      <c r="M35" s="135" t="s">
        <v>5</v>
      </c>
      <c r="O35" s="244"/>
      <c r="P35" s="244"/>
      <c r="Q35" s="244"/>
      <c r="R35" s="244"/>
      <c r="S35" s="244"/>
      <c r="T35" s="244"/>
      <c r="U35" s="244"/>
      <c r="V35" s="244"/>
      <c r="W35" s="244"/>
      <c r="X35" s="244"/>
      <c r="Y35" s="244"/>
      <c r="Z35" s="244"/>
      <c r="AA35" s="244"/>
      <c r="AB35" s="244"/>
    </row>
    <row r="36" spans="1:28" ht="13.35" customHeight="1">
      <c r="A36" s="50" t="s">
        <v>5</v>
      </c>
      <c r="B36" s="141"/>
      <c r="C36" s="80"/>
      <c r="D36" s="93"/>
      <c r="E36" s="226"/>
      <c r="F36" s="89"/>
      <c r="G36" s="81"/>
      <c r="H36" s="82"/>
      <c r="I36" s="83" t="str">
        <f t="shared" si="8"/>
        <v/>
      </c>
      <c r="J36" s="361" t="str">
        <f t="shared" si="3"/>
        <v/>
      </c>
      <c r="K36" s="200">
        <v>33</v>
      </c>
      <c r="L36" s="133">
        <f t="shared" si="4"/>
        <v>0</v>
      </c>
      <c r="M36" s="135" t="s">
        <v>5</v>
      </c>
      <c r="O36" s="244"/>
      <c r="P36" s="244"/>
      <c r="Q36" s="244"/>
      <c r="R36" s="244"/>
      <c r="S36" s="244"/>
      <c r="T36" s="244"/>
      <c r="U36" s="244"/>
      <c r="V36" s="244"/>
      <c r="W36" s="244"/>
      <c r="X36" s="244"/>
      <c r="Y36" s="244"/>
      <c r="Z36" s="244"/>
      <c r="AA36" s="244"/>
      <c r="AB36" s="244"/>
    </row>
    <row r="37" spans="1:28" ht="13.35" customHeight="1">
      <c r="A37" s="50" t="s">
        <v>5</v>
      </c>
      <c r="B37" s="141"/>
      <c r="C37" s="80"/>
      <c r="D37" s="93"/>
      <c r="E37" s="226"/>
      <c r="F37" s="89"/>
      <c r="G37" s="81"/>
      <c r="H37" s="82"/>
      <c r="I37" s="83" t="str">
        <f t="shared" si="8"/>
        <v/>
      </c>
      <c r="J37" s="361" t="str">
        <f t="shared" si="3"/>
        <v/>
      </c>
      <c r="K37" s="200">
        <v>34</v>
      </c>
      <c r="L37" s="133">
        <f t="shared" si="4"/>
        <v>0</v>
      </c>
      <c r="M37" s="135" t="s">
        <v>5</v>
      </c>
      <c r="O37" s="244"/>
      <c r="P37" s="244"/>
      <c r="Q37" s="244"/>
      <c r="R37" s="244"/>
      <c r="S37" s="244"/>
      <c r="T37" s="244"/>
      <c r="U37" s="244"/>
      <c r="V37" s="244"/>
      <c r="W37" s="244"/>
      <c r="X37" s="244"/>
      <c r="Y37" s="244"/>
      <c r="Z37" s="244"/>
      <c r="AA37" s="244"/>
      <c r="AB37" s="244"/>
    </row>
    <row r="38" spans="1:28" ht="13.35" customHeight="1">
      <c r="A38" s="50" t="s">
        <v>5</v>
      </c>
      <c r="B38" s="141"/>
      <c r="C38" s="80"/>
      <c r="D38" s="93"/>
      <c r="E38" s="226"/>
      <c r="F38" s="89"/>
      <c r="G38" s="81"/>
      <c r="H38" s="82"/>
      <c r="I38" s="83" t="str">
        <f t="shared" si="8"/>
        <v/>
      </c>
      <c r="J38" s="361" t="str">
        <f t="shared" si="3"/>
        <v/>
      </c>
      <c r="K38" s="200">
        <v>35</v>
      </c>
      <c r="L38" s="133">
        <f t="shared" si="4"/>
        <v>0</v>
      </c>
      <c r="M38" s="135" t="s">
        <v>5</v>
      </c>
      <c r="O38" s="244"/>
      <c r="P38" s="244"/>
      <c r="Q38" s="244"/>
      <c r="R38" s="244"/>
      <c r="S38" s="244"/>
      <c r="T38" s="244"/>
      <c r="U38" s="244"/>
      <c r="V38" s="244"/>
      <c r="W38" s="244"/>
      <c r="X38" s="244"/>
      <c r="Y38" s="244"/>
      <c r="Z38" s="244"/>
      <c r="AA38" s="244"/>
      <c r="AB38" s="244"/>
    </row>
    <row r="39" spans="1:28" ht="13.35" customHeight="1">
      <c r="A39" s="50" t="s">
        <v>5</v>
      </c>
      <c r="B39" s="141"/>
      <c r="C39" s="80"/>
      <c r="D39" s="93"/>
      <c r="E39" s="226"/>
      <c r="F39" s="89"/>
      <c r="G39" s="81"/>
      <c r="H39" s="82"/>
      <c r="I39" s="83" t="str">
        <f t="shared" si="8"/>
        <v/>
      </c>
      <c r="J39" s="361" t="str">
        <f t="shared" si="3"/>
        <v/>
      </c>
      <c r="K39" s="200">
        <v>36</v>
      </c>
      <c r="L39" s="133">
        <f t="shared" si="4"/>
        <v>0</v>
      </c>
      <c r="M39" s="135" t="s">
        <v>5</v>
      </c>
      <c r="O39" s="244"/>
      <c r="P39" s="244"/>
      <c r="Q39" s="244"/>
      <c r="R39" s="244"/>
      <c r="S39" s="244"/>
      <c r="T39" s="244"/>
      <c r="U39" s="244"/>
      <c r="V39" s="244"/>
      <c r="W39" s="244"/>
      <c r="X39" s="244"/>
      <c r="Y39" s="244"/>
      <c r="Z39" s="244"/>
      <c r="AA39" s="244"/>
      <c r="AB39" s="244"/>
    </row>
    <row r="40" spans="1:28" ht="13.35" customHeight="1">
      <c r="A40" s="50" t="s">
        <v>5</v>
      </c>
      <c r="B40" s="141"/>
      <c r="C40" s="80"/>
      <c r="D40" s="93"/>
      <c r="E40" s="226"/>
      <c r="F40" s="89"/>
      <c r="G40" s="81"/>
      <c r="H40" s="82"/>
      <c r="I40" s="83" t="str">
        <f t="shared" si="8"/>
        <v/>
      </c>
      <c r="J40" s="361" t="str">
        <f t="shared" si="3"/>
        <v/>
      </c>
      <c r="K40" s="200">
        <v>37</v>
      </c>
      <c r="L40" s="133">
        <f t="shared" si="4"/>
        <v>0</v>
      </c>
      <c r="M40" s="135" t="s">
        <v>5</v>
      </c>
      <c r="O40" s="244"/>
      <c r="P40" s="244"/>
      <c r="Q40" s="244"/>
      <c r="R40" s="244"/>
      <c r="S40" s="244"/>
      <c r="T40" s="244"/>
      <c r="U40" s="244"/>
      <c r="V40" s="244"/>
      <c r="W40" s="244"/>
      <c r="X40" s="244"/>
      <c r="Y40" s="244"/>
      <c r="Z40" s="244"/>
      <c r="AA40" s="244"/>
      <c r="AB40" s="244"/>
    </row>
    <row r="41" spans="1:28" ht="13.35" customHeight="1">
      <c r="A41" s="50" t="s">
        <v>5</v>
      </c>
      <c r="B41" s="141"/>
      <c r="C41" s="80"/>
      <c r="D41" s="93"/>
      <c r="E41" s="226"/>
      <c r="F41" s="89"/>
      <c r="G41" s="81"/>
      <c r="H41" s="82"/>
      <c r="I41" s="83" t="str">
        <f t="shared" si="8"/>
        <v/>
      </c>
      <c r="J41" s="361" t="str">
        <f t="shared" si="3"/>
        <v/>
      </c>
      <c r="K41" s="200">
        <v>38</v>
      </c>
      <c r="L41" s="133">
        <f t="shared" si="4"/>
        <v>0</v>
      </c>
      <c r="M41" s="135" t="s">
        <v>5</v>
      </c>
      <c r="O41" s="244"/>
      <c r="P41" s="244"/>
      <c r="Q41" s="244"/>
      <c r="R41" s="244"/>
      <c r="S41" s="244"/>
      <c r="T41" s="244"/>
      <c r="U41" s="244"/>
      <c r="V41" s="244"/>
      <c r="W41" s="244"/>
      <c r="X41" s="244"/>
      <c r="Y41" s="244"/>
      <c r="Z41" s="244"/>
      <c r="AA41" s="244"/>
      <c r="AB41" s="244"/>
    </row>
    <row r="42" spans="1:28" ht="13.35" customHeight="1">
      <c r="A42" s="50" t="s">
        <v>5</v>
      </c>
      <c r="B42" s="141"/>
      <c r="C42" s="80"/>
      <c r="D42" s="93"/>
      <c r="E42" s="226"/>
      <c r="F42" s="89"/>
      <c r="G42" s="81"/>
      <c r="H42" s="82"/>
      <c r="I42" s="83" t="str">
        <f t="shared" si="8"/>
        <v/>
      </c>
      <c r="J42" s="361" t="str">
        <f t="shared" si="3"/>
        <v/>
      </c>
      <c r="K42" s="200">
        <v>39</v>
      </c>
      <c r="L42" s="133">
        <f t="shared" si="4"/>
        <v>0</v>
      </c>
      <c r="M42" s="135" t="s">
        <v>5</v>
      </c>
      <c r="O42" s="244"/>
      <c r="P42" s="244"/>
      <c r="Q42" s="244"/>
      <c r="R42" s="244"/>
      <c r="S42" s="244"/>
      <c r="T42" s="244"/>
      <c r="U42" s="244"/>
      <c r="V42" s="244"/>
      <c r="W42" s="244"/>
      <c r="X42" s="244"/>
      <c r="Y42" s="244"/>
      <c r="Z42" s="244"/>
      <c r="AA42" s="244"/>
      <c r="AB42" s="244"/>
    </row>
    <row r="43" spans="1:28" ht="13.35" customHeight="1">
      <c r="A43" s="50" t="s">
        <v>5</v>
      </c>
      <c r="B43" s="141"/>
      <c r="C43" s="80"/>
      <c r="D43" s="93"/>
      <c r="E43" s="226"/>
      <c r="F43" s="89"/>
      <c r="G43" s="81"/>
      <c r="H43" s="82"/>
      <c r="I43" s="83" t="str">
        <f t="shared" si="8"/>
        <v/>
      </c>
      <c r="J43" s="361" t="str">
        <f t="shared" si="3"/>
        <v/>
      </c>
      <c r="K43" s="200">
        <v>40</v>
      </c>
      <c r="L43" s="133">
        <f t="shared" si="4"/>
        <v>0</v>
      </c>
      <c r="M43" s="135" t="s">
        <v>5</v>
      </c>
      <c r="O43" s="244"/>
      <c r="P43" s="244"/>
      <c r="Q43" s="244"/>
      <c r="R43" s="244"/>
      <c r="S43" s="244"/>
      <c r="T43" s="244"/>
      <c r="U43" s="244"/>
      <c r="V43" s="244"/>
      <c r="W43" s="244"/>
      <c r="X43" s="244"/>
      <c r="Y43" s="244"/>
      <c r="Z43" s="244"/>
      <c r="AA43" s="244"/>
      <c r="AB43" s="244"/>
    </row>
    <row r="44" spans="1:28" ht="13.35" customHeight="1">
      <c r="A44" s="50" t="s">
        <v>5</v>
      </c>
      <c r="B44" s="141"/>
      <c r="C44" s="80"/>
      <c r="D44" s="93"/>
      <c r="E44" s="226"/>
      <c r="F44" s="89"/>
      <c r="G44" s="81"/>
      <c r="H44" s="82"/>
      <c r="I44" s="83" t="str">
        <f t="shared" si="8"/>
        <v/>
      </c>
      <c r="J44" s="361" t="str">
        <f t="shared" si="3"/>
        <v/>
      </c>
      <c r="K44" s="200">
        <v>41</v>
      </c>
      <c r="L44" s="133">
        <f t="shared" si="4"/>
        <v>0</v>
      </c>
      <c r="M44" s="135" t="s">
        <v>5</v>
      </c>
      <c r="O44" s="244"/>
      <c r="P44" s="244"/>
      <c r="Q44" s="244"/>
      <c r="R44" s="244"/>
      <c r="S44" s="244"/>
      <c r="T44" s="244"/>
      <c r="U44" s="244"/>
      <c r="V44" s="244"/>
      <c r="W44" s="244"/>
      <c r="X44" s="244"/>
      <c r="Y44" s="244"/>
      <c r="Z44" s="244"/>
      <c r="AA44" s="244"/>
      <c r="AB44" s="244"/>
    </row>
    <row r="45" spans="1:28" ht="13.35" customHeight="1">
      <c r="A45" s="50" t="s">
        <v>5</v>
      </c>
      <c r="B45" s="141"/>
      <c r="C45" s="80"/>
      <c r="D45" s="93"/>
      <c r="E45" s="226"/>
      <c r="F45" s="89"/>
      <c r="G45" s="81"/>
      <c r="H45" s="82"/>
      <c r="I45" s="83" t="str">
        <f t="shared" ref="I45:I46" si="9">IF(G45&lt;&gt;"",+G45-G45/(1+H45/100),"")</f>
        <v/>
      </c>
      <c r="J45" s="361" t="str">
        <f t="shared" ref="J45:J46" si="10">IF(G45&lt;&gt;0,+G45-I45,"")</f>
        <v/>
      </c>
      <c r="K45" s="200">
        <v>44</v>
      </c>
      <c r="L45" s="133">
        <f t="shared" ref="L45:L46" si="11">IF(B45&lt;$O$2,0,IF(B45&lt;$P$2,1,IF(B45&lt;$Q$2,2,IF(B45&lt;$R$2,3,IF(B45&lt;$S$2,4,IF(B45&lt;$T$2,5,IF(B45&lt;$U$2,6,IF(B45&lt;$V$2,7,IF(B45&lt;$W$2,8,IF(B45&lt;$X$2,9,IF(B45&lt;$Y$2,10,IF(B45&lt;$Z$2,11,IF(B45&lt;=$Z$3,12,0)))))))))))))</f>
        <v>0</v>
      </c>
      <c r="M45" s="135" t="s">
        <v>5</v>
      </c>
      <c r="O45" s="244"/>
      <c r="P45" s="244"/>
      <c r="Q45" s="244"/>
      <c r="R45" s="244"/>
      <c r="S45" s="244"/>
      <c r="T45" s="244"/>
      <c r="U45" s="244"/>
      <c r="V45" s="244"/>
      <c r="W45" s="244"/>
      <c r="X45" s="244"/>
      <c r="Y45" s="244"/>
      <c r="Z45" s="244"/>
      <c r="AA45" s="244"/>
      <c r="AB45" s="244"/>
    </row>
    <row r="46" spans="1:28" ht="13.35" customHeight="1" thickBot="1">
      <c r="A46" s="50" t="s">
        <v>5</v>
      </c>
      <c r="B46" s="141"/>
      <c r="C46" s="80"/>
      <c r="D46" s="93"/>
      <c r="E46" s="226"/>
      <c r="F46" s="89"/>
      <c r="G46" s="81"/>
      <c r="H46" s="82"/>
      <c r="I46" s="83" t="str">
        <f t="shared" si="9"/>
        <v/>
      </c>
      <c r="J46" s="361" t="str">
        <f t="shared" si="10"/>
        <v/>
      </c>
      <c r="K46" s="200">
        <v>45</v>
      </c>
      <c r="L46" s="133">
        <f t="shared" si="11"/>
        <v>0</v>
      </c>
      <c r="M46" s="135" t="s">
        <v>5</v>
      </c>
      <c r="O46" s="244"/>
      <c r="P46" s="244"/>
      <c r="Q46" s="244"/>
      <c r="R46" s="244"/>
      <c r="S46" s="244"/>
      <c r="T46" s="244"/>
      <c r="U46" s="244"/>
      <c r="V46" s="244"/>
      <c r="W46" s="244"/>
      <c r="X46" s="244"/>
      <c r="Y46" s="244"/>
      <c r="Z46" s="244"/>
      <c r="AA46" s="244"/>
      <c r="AB46" s="244"/>
    </row>
    <row r="47" spans="1:28" ht="12" customHeight="1" thickTop="1" thickBot="1">
      <c r="A47" s="391" t="s">
        <v>283</v>
      </c>
      <c r="B47" s="1244" t="str">
        <f>IF($A$48=0,"^ Zeile einfügen","bis hierher ziehen!")</f>
        <v>^ Zeile einfügen</v>
      </c>
      <c r="C47" s="1244"/>
      <c r="D47" s="392" t="s">
        <v>5</v>
      </c>
      <c r="E47" s="393" t="s">
        <v>5</v>
      </c>
      <c r="F47" s="394" t="s">
        <v>5</v>
      </c>
      <c r="G47" s="394"/>
      <c r="H47" s="395"/>
      <c r="I47" s="396"/>
      <c r="J47" s="425"/>
      <c r="K47" s="201">
        <v>0</v>
      </c>
      <c r="L47" s="185" t="s">
        <v>5</v>
      </c>
      <c r="M47" s="398" t="s">
        <v>283</v>
      </c>
    </row>
    <row r="48" spans="1:28" ht="12" customHeight="1" thickTop="1" thickBot="1">
      <c r="A48" s="390">
        <f>COUNTBLANK(A3:A47)+A49</f>
        <v>0</v>
      </c>
      <c r="B48" s="193" t="str">
        <f>+EÜR!C37</f>
        <v>ü</v>
      </c>
      <c r="C48" s="194" t="s">
        <v>5</v>
      </c>
      <c r="D48" s="194" t="s">
        <v>5</v>
      </c>
      <c r="E48" s="195" t="s">
        <v>5</v>
      </c>
      <c r="F48" s="196" t="s">
        <v>5</v>
      </c>
      <c r="G48" s="197">
        <f>SUBTOTAL(9,G3:G47)</f>
        <v>0</v>
      </c>
      <c r="H48" s="1242">
        <f>SUBTOTAL(9,I3:I47)</f>
        <v>0</v>
      </c>
      <c r="I48" s="1243">
        <f>SUBTOTAL(9,I3:I47)</f>
        <v>0</v>
      </c>
      <c r="J48" s="1293">
        <f>G48-H48</f>
        <v>0</v>
      </c>
      <c r="K48" s="1294"/>
      <c r="L48" s="1295"/>
      <c r="M48" s="135" t="s">
        <v>5</v>
      </c>
    </row>
    <row r="49" spans="1:14" ht="12" customHeight="1" thickTop="1" thickBot="1">
      <c r="A49" s="390">
        <f>IF(ISERROR(J47),1,0)</f>
        <v>0</v>
      </c>
      <c r="B49" s="192">
        <f>J48-G49-E49-C49</f>
        <v>0</v>
      </c>
      <c r="C49" s="1239">
        <f>SUMIF(F4:F47,"Kreditkarte",G4:G47)</f>
        <v>0</v>
      </c>
      <c r="D49" s="1239"/>
      <c r="E49" s="1240">
        <f>SUMIF(F4:F47,"Konto",G4:G47)</f>
        <v>0</v>
      </c>
      <c r="F49" s="1240"/>
      <c r="G49" s="1241">
        <f>SUMIF(F4:F47,"Geldbeutel",G4:G47)</f>
        <v>0</v>
      </c>
      <c r="H49" s="1241"/>
      <c r="I49" s="1241"/>
      <c r="J49" s="1296"/>
      <c r="K49" s="1297"/>
      <c r="L49" s="1298"/>
      <c r="M49" s="135" t="s">
        <v>5</v>
      </c>
    </row>
    <row r="50" spans="1:14" s="15" customFormat="1" ht="5.25" customHeight="1" thickTop="1">
      <c r="A50" s="36"/>
      <c r="B50" s="2"/>
      <c r="C50" s="3"/>
      <c r="D50" s="3"/>
      <c r="E50" s="1"/>
      <c r="G50" s="16"/>
      <c r="H50" s="16"/>
      <c r="I50" s="17"/>
      <c r="J50" s="18"/>
      <c r="K50" s="18"/>
      <c r="L50" s="31"/>
      <c r="N50" s="148"/>
    </row>
    <row r="51" spans="1:14">
      <c r="A51" s="36"/>
    </row>
  </sheetData>
  <sheetProtection formatCells="0" insertRows="0" deleteRows="0" selectLockedCells="1" sort="0" autoFilter="0"/>
  <sortState xmlns:xlrd2="http://schemas.microsoft.com/office/spreadsheetml/2017/richdata2" ref="B4:I18">
    <sortCondition ref="B4:B18"/>
  </sortState>
  <mergeCells count="15">
    <mergeCell ref="C2:I2"/>
    <mergeCell ref="J2:L2"/>
    <mergeCell ref="AA9:AB9"/>
    <mergeCell ref="O10:Z10"/>
    <mergeCell ref="O11:Z11"/>
    <mergeCell ref="AA4:AB4"/>
    <mergeCell ref="AA13:AB13"/>
    <mergeCell ref="O14:Z14"/>
    <mergeCell ref="AA14:AB14"/>
    <mergeCell ref="J48:L49"/>
    <mergeCell ref="C49:D49"/>
    <mergeCell ref="E49:F49"/>
    <mergeCell ref="G49:I49"/>
    <mergeCell ref="H48:I48"/>
    <mergeCell ref="B47:C47"/>
  </mergeCells>
  <phoneticPr fontId="188" type="noConversion"/>
  <conditionalFormatting sqref="A4:A46">
    <cfRule type="expression" dxfId="822" priority="23">
      <formula>ISERROR(J4)</formula>
    </cfRule>
    <cfRule type="cellIs" dxfId="821" priority="24" operator="equal">
      <formula>""</formula>
    </cfRule>
  </conditionalFormatting>
  <conditionalFormatting sqref="A47:C47">
    <cfRule type="expression" dxfId="820" priority="8">
      <formula>$A$48&lt;&gt;0</formula>
    </cfRule>
  </conditionalFormatting>
  <conditionalFormatting sqref="B2">
    <cfRule type="expression" dxfId="819" priority="50" stopIfTrue="1">
      <formula>$B$48="x"</formula>
    </cfRule>
  </conditionalFormatting>
  <conditionalFormatting sqref="B4:B46">
    <cfRule type="cellIs" dxfId="816" priority="37" operator="equal">
      <formula>""</formula>
    </cfRule>
  </conditionalFormatting>
  <conditionalFormatting sqref="B48">
    <cfRule type="cellIs" dxfId="815" priority="73" operator="equal">
      <formula>"y"</formula>
    </cfRule>
  </conditionalFormatting>
  <conditionalFormatting sqref="B3:J3">
    <cfRule type="expression" dxfId="814" priority="10211">
      <formula>$B$48="x"</formula>
    </cfRule>
  </conditionalFormatting>
  <conditionalFormatting sqref="B4:J46">
    <cfRule type="expression" dxfId="813" priority="33">
      <formula>$B$1="x"</formula>
    </cfRule>
  </conditionalFormatting>
  <conditionalFormatting sqref="B3:L3">
    <cfRule type="expression" dxfId="812" priority="67">
      <formula>$B$48="x"</formula>
    </cfRule>
  </conditionalFormatting>
  <conditionalFormatting sqref="C4:D46">
    <cfRule type="expression" dxfId="811" priority="40">
      <formula>AND($B4&lt;&gt;"",$C4="")</formula>
    </cfRule>
  </conditionalFormatting>
  <conditionalFormatting sqref="C49:I49">
    <cfRule type="cellIs" dxfId="810" priority="72" stopIfTrue="1" operator="lessThan">
      <formula>0</formula>
    </cfRule>
    <cfRule type="cellIs" dxfId="809" priority="70" stopIfTrue="1" operator="greaterThanOrEqual">
      <formula>0</formula>
    </cfRule>
  </conditionalFormatting>
  <conditionalFormatting sqref="D47:J47">
    <cfRule type="expression" dxfId="808" priority="10">
      <formula>$A$48&lt;&gt;0</formula>
    </cfRule>
  </conditionalFormatting>
  <conditionalFormatting sqref="H4:H46">
    <cfRule type="expression" dxfId="807" priority="36">
      <formula>AND(G4&lt;&gt;"",H4="",$I$1&lt;&gt;"x")</formula>
    </cfRule>
  </conditionalFormatting>
  <conditionalFormatting sqref="H4:I46">
    <cfRule type="expression" dxfId="806" priority="34">
      <formula>AND($I4&lt;&gt;0,$I$1&lt;&gt;"ü")</formula>
    </cfRule>
    <cfRule type="expression" dxfId="805" priority="35">
      <formula>$I$1&lt;&gt;"ü"</formula>
    </cfRule>
  </conditionalFormatting>
  <conditionalFormatting sqref="J48:L48 C49:L49 C48:H48">
    <cfRule type="expression" dxfId="803" priority="69">
      <formula>$B$48="x"</formula>
    </cfRule>
  </conditionalFormatting>
  <conditionalFormatting sqref="J48:L49">
    <cfRule type="expression" dxfId="802" priority="68">
      <formula>AND($B$48="x",$J$48&lt;&gt;0)</formula>
    </cfRule>
  </conditionalFormatting>
  <conditionalFormatting sqref="K4:L46">
    <cfRule type="expression" dxfId="801" priority="16605">
      <formula>$B$48="x"</formula>
    </cfRule>
  </conditionalFormatting>
  <conditionalFormatting sqref="M3">
    <cfRule type="cellIs" dxfId="800" priority="32" operator="equal">
      <formula>""</formula>
    </cfRule>
  </conditionalFormatting>
  <conditionalFormatting sqref="M4:M46">
    <cfRule type="expression" dxfId="799" priority="30">
      <formula>ISERROR(J4)</formula>
    </cfRule>
    <cfRule type="cellIs" dxfId="798" priority="31" operator="equal">
      <formula>""</formula>
    </cfRule>
  </conditionalFormatting>
  <conditionalFormatting sqref="M47">
    <cfRule type="expression" dxfId="797" priority="9">
      <formula>$A$48&lt;&gt;0</formula>
    </cfRule>
  </conditionalFormatting>
  <conditionalFormatting sqref="M47:M49">
    <cfRule type="cellIs" dxfId="796" priority="12" operator="equal">
      <formula>""</formula>
    </cfRule>
  </conditionalFormatting>
  <conditionalFormatting sqref="N10:AB10">
    <cfRule type="expression" dxfId="795" priority="7">
      <formula>$N$2=0</formula>
    </cfRule>
  </conditionalFormatting>
  <conditionalFormatting sqref="O11:Z11">
    <cfRule type="cellIs" dxfId="794" priority="54" operator="equal">
      <formula>"Fehler!"</formula>
    </cfRule>
  </conditionalFormatting>
  <conditionalFormatting sqref="O4:AA4">
    <cfRule type="expression" dxfId="790" priority="49">
      <formula>$N$2=0</formula>
    </cfRule>
  </conditionalFormatting>
  <conditionalFormatting sqref="O2:AB3">
    <cfRule type="expression" dxfId="788" priority="2">
      <formula>$N$2=0</formula>
    </cfRule>
  </conditionalFormatting>
  <conditionalFormatting sqref="O5:AB8 O9:AA9">
    <cfRule type="expression" dxfId="787" priority="53">
      <formula>$N$2=0</formula>
    </cfRule>
  </conditionalFormatting>
  <conditionalFormatting sqref="O11:AB14">
    <cfRule type="expression" dxfId="786" priority="1">
      <formula>$N$2=0</formula>
    </cfRule>
  </conditionalFormatting>
  <conditionalFormatting sqref="O47:AB49">
    <cfRule type="expression" dxfId="785" priority="11">
      <formula>$N$2=0</formula>
    </cfRule>
  </conditionalFormatting>
  <dataValidations count="2">
    <dataValidation type="list" allowBlank="1" showInputMessage="1" showErrorMessage="1" sqref="F4:F46" xr:uid="{1453D71A-B6E8-4B36-8477-9ACAB4E0E2D1}">
      <formula1>"Konto,Geldbeutel,Kreditkarte,x"</formula1>
    </dataValidation>
    <dataValidation type="list" allowBlank="1" showInputMessage="1" showErrorMessage="1" sqref="H4:H46" xr:uid="{E36349A8-E8EF-40A5-AE65-029EADF8C57B}">
      <formula1>"19,7,0,~"</formula1>
    </dataValidation>
  </dataValidations>
  <hyperlinks>
    <hyperlink ref="J2" location="'2022 EÜR'!A1" display="Menü" xr:uid="{8DCA172A-E91A-4739-BACE-6A7B9D0B8CCB}"/>
    <hyperlink ref="J2:L2" location="EÜR!A1" display="EÜR" xr:uid="{CEABE963-3D5D-4C3F-865B-158A81370F84}"/>
  </hyperlinks>
  <printOptions horizontalCentered="1"/>
  <pageMargins left="0" right="0" top="0" bottom="0.31496062992125984" header="0" footer="0"/>
  <pageSetup paperSize="9" orientation="portrait" r:id="rId1"/>
  <headerFooter>
    <oddFooter>&amp;L&amp;"Arial,Standard"&amp;8Datei: &amp;Z&amp;F/&amp;A&amp;C&amp;"Arial,Standard"&amp;8Seite &amp;P von &amp;N&amp;R&amp;"Arial,Standard"&amp;8Druck: &amp;D&amp;T Uhr</oddFooter>
  </headerFooter>
  <extLst>
    <ext xmlns:x14="http://schemas.microsoft.com/office/spreadsheetml/2009/9/main" uri="{78C0D931-6437-407d-A8EE-F0AAD7539E65}">
      <x14:conditionalFormattings>
        <x14:conditionalFormatting xmlns:xm="http://schemas.microsoft.com/office/excel/2006/main">
          <x14:cfRule type="cellIs" priority="38" operator="greaterThan" id="{30B2851F-4D2F-49E3-B745-86B6FCCF7AEF}">
            <xm:f>EÜR!$I$78</xm:f>
            <x14:dxf>
              <font>
                <b/>
                <i val="0"/>
                <color rgb="FFFFFF00"/>
              </font>
              <fill>
                <patternFill>
                  <bgColor rgb="FFC00000"/>
                </patternFill>
              </fill>
            </x14:dxf>
          </x14:cfRule>
          <x14:cfRule type="cellIs" priority="39" operator="lessThan" id="{91176F3B-8FEE-49F7-A3C2-868E007BEA36}">
            <xm:f>EÜR!$I$77</xm:f>
            <x14:dxf>
              <font>
                <b/>
                <i val="0"/>
                <color rgb="FFFFFF00"/>
              </font>
              <fill>
                <patternFill>
                  <bgColor rgb="FFC00000"/>
                </patternFill>
              </fill>
            </x14:dxf>
          </x14:cfRule>
          <xm:sqref>B4:B46</xm:sqref>
        </x14:conditionalFormatting>
        <x14:conditionalFormatting xmlns:xm="http://schemas.microsoft.com/office/excel/2006/main">
          <x14:cfRule type="expression" priority="51" id="{3C2135FF-1E2B-4E22-8612-C00E47A4D7B7}">
            <xm:f>AND(EÜR!$J$66&lt;&gt;"ü",$H$48&lt;&gt;0)</xm:f>
            <x14:dxf>
              <font>
                <b/>
                <i val="0"/>
                <color rgb="FFFFFF00"/>
              </font>
              <fill>
                <patternFill>
                  <bgColor rgb="FFFF0000"/>
                </patternFill>
              </fill>
            </x14:dxf>
          </x14:cfRule>
          <xm:sqref>H48:I48</xm:sqref>
        </x14:conditionalFormatting>
        <x14:conditionalFormatting xmlns:xm="http://schemas.microsoft.com/office/excel/2006/main">
          <x14:cfRule type="expression" priority="55" id="{CB6E3CF4-85A5-4653-8928-D2191EF0771E}">
            <xm:f>AND(O13&lt;&gt;0,U!L36="!",U!L37="!")</xm:f>
            <x14:dxf>
              <font>
                <b/>
                <i val="0"/>
                <color rgb="FFFF0000"/>
              </font>
              <fill>
                <patternFill>
                  <bgColor rgb="FFFFCCCC"/>
                </patternFill>
              </fill>
            </x14:dxf>
          </x14:cfRule>
          <x14:cfRule type="expression" priority="56" id="{01B273BF-28D3-4456-9B3D-EFF2B8FA357F}">
            <xm:f>U!L37&lt;&gt;"!"</xm:f>
            <x14:dxf>
              <font>
                <b/>
                <i val="0"/>
                <color rgb="FF006666"/>
              </font>
              <fill>
                <patternFill>
                  <bgColor theme="6" tint="0.39994506668294322"/>
                </patternFill>
              </fill>
            </x14:dxf>
          </x14:cfRule>
          <x14:cfRule type="expression" priority="57" id="{DA17092D-78BB-4900-8469-7B854A33D12A}">
            <xm:f>U!L36&lt;&gt;"!"</xm:f>
            <x14:dxf>
              <font>
                <b/>
                <i val="0"/>
                <color theme="9" tint="-0.499984740745262"/>
              </font>
              <fill>
                <patternFill>
                  <bgColor rgb="FFFFFF99"/>
                </patternFill>
              </fill>
            </x14:dxf>
          </x14:cfRule>
          <xm:sqref>O13:Z13</xm:sqref>
        </x14:conditionalFormatting>
        <x14:conditionalFormatting xmlns:xm="http://schemas.microsoft.com/office/excel/2006/main">
          <x14:cfRule type="expression" priority="3" id="{C2FCD701-D168-4B8F-BF23-7F2F3B616B98}">
            <xm:f>EÜR!$J$66="-"</xm:f>
            <x14:dxf>
              <font>
                <b/>
                <i val="0"/>
                <color theme="0"/>
              </font>
              <fill>
                <patternFill>
                  <bgColor theme="0"/>
                </patternFill>
              </fill>
              <border>
                <left/>
                <right/>
                <top/>
                <bottom/>
              </border>
            </x14:dxf>
          </x14:cfRule>
          <xm:sqref>O12:AA14</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1E943E-8B74-4FF5-905A-B01F983488C5}">
  <sheetPr codeName="Tabelle4">
    <tabColor theme="6" tint="0.39997558519241921"/>
    <pageSetUpPr autoPageBreaks="0"/>
  </sheetPr>
  <dimension ref="A1:AB51"/>
  <sheetViews>
    <sheetView showGridLines="0" showRowColHeaders="0" zoomScaleNormal="100" workbookViewId="0">
      <pane ySplit="3" topLeftCell="A4" activePane="bottomLeft" state="frozen"/>
      <selection activeCell="E4" sqref="E4:E46"/>
      <selection pane="bottomLeft" activeCell="A4" sqref="A4"/>
    </sheetView>
  </sheetViews>
  <sheetFormatPr baseColWidth="10" defaultColWidth="9.77734375" defaultRowHeight="12.75"/>
  <cols>
    <col min="1" max="1" width="0.77734375" style="12" customWidth="1"/>
    <col min="2" max="2" width="7.6640625" style="30" customWidth="1"/>
    <col min="3" max="3" width="21.6640625" style="24" customWidth="1"/>
    <col min="4" max="4" width="7.6640625" style="24" customWidth="1"/>
    <col min="5" max="5" width="6.6640625" style="25" customWidth="1"/>
    <col min="6" max="6" width="9.6640625" style="26" customWidth="1"/>
    <col min="7" max="7" width="9.6640625" style="27" customWidth="1"/>
    <col min="8" max="8" width="2.6640625" style="28" customWidth="1"/>
    <col min="9" max="9" width="6.6640625" style="29" customWidth="1"/>
    <col min="10" max="10" width="9.6640625" style="27" customWidth="1"/>
    <col min="11" max="11" width="2.5546875" style="27" hidden="1" customWidth="1"/>
    <col min="12" max="12" width="1.5546875" style="32" hidden="1" customWidth="1"/>
    <col min="13" max="13" width="0.77734375" style="13" customWidth="1"/>
    <col min="14" max="14" width="1.77734375" style="147" customWidth="1"/>
    <col min="15" max="26" width="8.77734375" style="13" customWidth="1"/>
    <col min="27" max="27" width="10.33203125" style="13" customWidth="1"/>
    <col min="28" max="28" width="8.33203125" style="13" customWidth="1"/>
    <col min="29" max="16384" width="9.77734375" style="13"/>
  </cols>
  <sheetData>
    <row r="1" spans="1:28" s="37" customFormat="1" ht="3" customHeight="1" thickBot="1">
      <c r="A1" s="36"/>
      <c r="B1" s="53" t="str">
        <f>+B48</f>
        <v>ü</v>
      </c>
      <c r="C1" s="54">
        <f>+C49</f>
        <v>0</v>
      </c>
      <c r="D1" s="54"/>
      <c r="E1" s="53">
        <f>+E49</f>
        <v>0</v>
      </c>
      <c r="F1" s="53"/>
      <c r="G1" s="54">
        <f>+G49</f>
        <v>0</v>
      </c>
      <c r="H1" s="53"/>
      <c r="I1" s="338" t="s">
        <v>168</v>
      </c>
      <c r="J1" s="54">
        <f>+J48</f>
        <v>0</v>
      </c>
      <c r="K1" s="198"/>
      <c r="L1" s="56"/>
      <c r="N1" s="190"/>
    </row>
    <row r="2" spans="1:28" ht="23.1" customHeight="1" thickTop="1" thickBot="1">
      <c r="A2" s="36"/>
      <c r="B2" s="294" t="str">
        <f>+EÜR!D9</f>
        <v>E02</v>
      </c>
      <c r="C2" s="1245" t="str">
        <f>+EÜR!F9</f>
        <v>Umsatzsteuerfreie Einnahmen</v>
      </c>
      <c r="D2" s="1246"/>
      <c r="E2" s="1246"/>
      <c r="F2" s="1246"/>
      <c r="G2" s="1246"/>
      <c r="H2" s="1246"/>
      <c r="I2" s="1247"/>
      <c r="J2" s="1227" t="s">
        <v>8</v>
      </c>
      <c r="K2" s="1228"/>
      <c r="L2" s="1229"/>
      <c r="M2" s="134"/>
      <c r="N2" s="190">
        <f>IF(OR(B48="x",N3=1),0,1)</f>
        <v>1</v>
      </c>
      <c r="O2" s="188">
        <f>+EOMONTH(EÜR!$I$3,-1)+1</f>
        <v>46023</v>
      </c>
      <c r="P2" s="188">
        <f t="shared" ref="P2:Z2" si="0">+O3+1</f>
        <v>46054</v>
      </c>
      <c r="Q2" s="188">
        <f t="shared" si="0"/>
        <v>46082</v>
      </c>
      <c r="R2" s="188">
        <f t="shared" si="0"/>
        <v>46113</v>
      </c>
      <c r="S2" s="188">
        <f t="shared" si="0"/>
        <v>46143</v>
      </c>
      <c r="T2" s="188">
        <f t="shared" si="0"/>
        <v>46174</v>
      </c>
      <c r="U2" s="188">
        <f t="shared" si="0"/>
        <v>46204</v>
      </c>
      <c r="V2" s="188">
        <f t="shared" si="0"/>
        <v>46235</v>
      </c>
      <c r="W2" s="188">
        <f t="shared" si="0"/>
        <v>46266</v>
      </c>
      <c r="X2" s="188">
        <f t="shared" si="0"/>
        <v>46296</v>
      </c>
      <c r="Y2" s="188">
        <f t="shared" si="0"/>
        <v>46327</v>
      </c>
      <c r="Z2" s="188">
        <f t="shared" si="0"/>
        <v>46357</v>
      </c>
      <c r="AA2" s="48"/>
    </row>
    <row r="3" spans="1:28" ht="14.25" customHeight="1" thickTop="1">
      <c r="A3" s="36" t="s">
        <v>5</v>
      </c>
      <c r="B3" s="58" t="s">
        <v>1</v>
      </c>
      <c r="C3" s="59" t="s">
        <v>6</v>
      </c>
      <c r="D3" s="60"/>
      <c r="E3" s="310" t="s">
        <v>7</v>
      </c>
      <c r="F3" s="61" t="s">
        <v>4</v>
      </c>
      <c r="G3" s="62" t="s">
        <v>31</v>
      </c>
      <c r="H3" s="63" t="s">
        <v>33</v>
      </c>
      <c r="I3" s="64" t="s">
        <v>32</v>
      </c>
      <c r="J3" s="360" t="s">
        <v>143</v>
      </c>
      <c r="K3" s="199">
        <v>0</v>
      </c>
      <c r="L3" s="65" t="s">
        <v>5</v>
      </c>
      <c r="M3" s="135" t="s">
        <v>5</v>
      </c>
      <c r="N3" s="222">
        <f>IF(SUBTOTAL(109,K3:K47)&lt;&gt;SUM(K3:K47),1,0)</f>
        <v>0</v>
      </c>
      <c r="O3" s="189">
        <f>EOMONTH(O2,0)</f>
        <v>46053</v>
      </c>
      <c r="P3" s="189">
        <f t="shared" ref="P3:Z3" si="1">EOMONTH(P2,0)</f>
        <v>46081</v>
      </c>
      <c r="Q3" s="189">
        <f t="shared" si="1"/>
        <v>46112</v>
      </c>
      <c r="R3" s="189">
        <f t="shared" si="1"/>
        <v>46142</v>
      </c>
      <c r="S3" s="189">
        <f t="shared" si="1"/>
        <v>46173</v>
      </c>
      <c r="T3" s="189">
        <f t="shared" si="1"/>
        <v>46203</v>
      </c>
      <c r="U3" s="189">
        <f t="shared" si="1"/>
        <v>46234</v>
      </c>
      <c r="V3" s="189">
        <f t="shared" si="1"/>
        <v>46265</v>
      </c>
      <c r="W3" s="189">
        <f t="shared" si="1"/>
        <v>46295</v>
      </c>
      <c r="X3" s="189">
        <f t="shared" si="1"/>
        <v>46326</v>
      </c>
      <c r="Y3" s="189">
        <f t="shared" si="1"/>
        <v>46356</v>
      </c>
      <c r="Z3" s="189">
        <f t="shared" si="1"/>
        <v>46387</v>
      </c>
      <c r="AB3" s="14"/>
    </row>
    <row r="4" spans="1:28" ht="13.35" customHeight="1">
      <c r="A4" s="50" t="s">
        <v>5</v>
      </c>
      <c r="B4" s="141"/>
      <c r="C4" s="80"/>
      <c r="D4" s="93"/>
      <c r="E4" s="969"/>
      <c r="F4" s="385"/>
      <c r="G4" s="81"/>
      <c r="H4" s="82"/>
      <c r="I4" s="83"/>
      <c r="J4" s="282" t="str">
        <f t="shared" ref="J4:J44" si="2">IF(G4&lt;&gt;0,+G4-I4,"")</f>
        <v/>
      </c>
      <c r="K4" s="200">
        <v>1</v>
      </c>
      <c r="L4" s="133">
        <f>IF(B4&lt;$O$2,0,IF(B4&lt;$P$2,1,IF(B4&lt;$Q$2,2,IF(B4&lt;$R$2,3,IF(B4&lt;$S$2,4,IF(B4&lt;$T$2,5,IF(B4&lt;$U$2,6,IF(B4&lt;$V$2,7,IF(B4&lt;$W$2,8,IF(B4&lt;$X$2,9,IF(B4&lt;$Y$2,10,IF(B4&lt;$Z$2,11,IF(B4&lt;=$Z$3,12,0)))))))))))))</f>
        <v>0</v>
      </c>
      <c r="M4" s="135" t="s">
        <v>5</v>
      </c>
      <c r="N4" s="190">
        <f>+N10+AA12+AA16</f>
        <v>0</v>
      </c>
      <c r="O4" s="251" t="s">
        <v>36</v>
      </c>
      <c r="P4" s="251" t="s">
        <v>37</v>
      </c>
      <c r="Q4" s="251" t="s">
        <v>38</v>
      </c>
      <c r="R4" s="251" t="s">
        <v>39</v>
      </c>
      <c r="S4" s="251" t="s">
        <v>40</v>
      </c>
      <c r="T4" s="251" t="s">
        <v>41</v>
      </c>
      <c r="U4" s="251" t="s">
        <v>42</v>
      </c>
      <c r="V4" s="251" t="s">
        <v>43</v>
      </c>
      <c r="W4" s="251" t="s">
        <v>44</v>
      </c>
      <c r="X4" s="251" t="s">
        <v>45</v>
      </c>
      <c r="Y4" s="251" t="s">
        <v>46</v>
      </c>
      <c r="Z4" s="251" t="s">
        <v>47</v>
      </c>
      <c r="AA4" s="1209" t="s">
        <v>255</v>
      </c>
      <c r="AB4" s="1210"/>
    </row>
    <row r="5" spans="1:28" ht="13.35" customHeight="1">
      <c r="A5" s="50" t="s">
        <v>5</v>
      </c>
      <c r="B5" s="141"/>
      <c r="C5" s="80"/>
      <c r="D5" s="93"/>
      <c r="E5" s="969"/>
      <c r="F5" s="385"/>
      <c r="G5" s="81"/>
      <c r="H5" s="82"/>
      <c r="I5" s="83"/>
      <c r="J5" s="282" t="str">
        <f t="shared" si="2"/>
        <v/>
      </c>
      <c r="K5" s="200">
        <v>2</v>
      </c>
      <c r="L5" s="133">
        <f t="shared" ref="L5:L44" si="3">IF(B5&lt;$O$2,0,IF(B5&lt;$P$2,1,IF(B5&lt;$Q$2,2,IF(B5&lt;$R$2,3,IF(B5&lt;$S$2,4,IF(B5&lt;$T$2,5,IF(B5&lt;$U$2,6,IF(B5&lt;$V$2,7,IF(B5&lt;$W$2,8,IF(B5&lt;$X$2,9,IF(B5&lt;$Y$2,10,IF(B5&lt;$Z$2,11,IF(B5&lt;=$Z$3,12,0)))))))))))))</f>
        <v>0</v>
      </c>
      <c r="M5" s="135" t="s">
        <v>5</v>
      </c>
      <c r="O5" s="252">
        <f>SUMIFS($G$3:$G$47,$L$3:$L$47,1,$F$3:$F$47,"Konto")</f>
        <v>0</v>
      </c>
      <c r="P5" s="252">
        <f>SUMIFS($G$3:$G$47,$L$3:$L$47,2,$F$3:$F$47,"Konto")</f>
        <v>0</v>
      </c>
      <c r="Q5" s="252">
        <f>SUMIFS($G$3:$G$47,$L$3:$L$47,3,$F$3:$F$47,"Konto")</f>
        <v>0</v>
      </c>
      <c r="R5" s="252">
        <f>SUMIFS($G$3:$G$47,$L$3:$L$47,4,$F$3:$F$47,"Konto")</f>
        <v>0</v>
      </c>
      <c r="S5" s="252">
        <f>SUMIFS($G$3:$G$47,$L$3:$L$47,5,$F$3:$F$47,"Konto")</f>
        <v>0</v>
      </c>
      <c r="T5" s="252">
        <f>SUMIFS($G$3:$G$47,$L$3:$L$47,6,$F$3:$F$47,"Konto")</f>
        <v>0</v>
      </c>
      <c r="U5" s="252">
        <f>SUMIFS($G$3:$G$47,$L$3:$L$47,7,$F$3:$F$47,"Konto")</f>
        <v>0</v>
      </c>
      <c r="V5" s="252">
        <f>SUMIFS($G$3:$G$47,$L$3:$L$47,8,$F$3:$F$47,"Konto")</f>
        <v>0</v>
      </c>
      <c r="W5" s="252">
        <f>SUMIFS($G$3:$G$47,$L$3:$L$47,9,$F$3:$F$47,"Konto")</f>
        <v>0</v>
      </c>
      <c r="X5" s="252">
        <f>SUMIFS($G$3:$G$47,$L$3:$L$47,10,$F$3:$F$47,"Konto")</f>
        <v>0</v>
      </c>
      <c r="Y5" s="252">
        <f>SUMIFS($G$3:$G$47,$L$3:$L$47,11,$F$3:$F$47,"Konto")</f>
        <v>0</v>
      </c>
      <c r="Z5" s="252">
        <f>SUMIFS($G$3:$G$47,$L$3:$L$47,12,$F$3:$F$47,"Konto")</f>
        <v>0</v>
      </c>
      <c r="AA5" s="253">
        <f>SUM(O5:Z5)</f>
        <v>0</v>
      </c>
      <c r="AB5" s="254" t="s">
        <v>140</v>
      </c>
    </row>
    <row r="6" spans="1:28" ht="13.35" customHeight="1">
      <c r="A6" s="50" t="s">
        <v>5</v>
      </c>
      <c r="B6" s="141"/>
      <c r="C6" s="80"/>
      <c r="D6" s="93"/>
      <c r="E6" s="969"/>
      <c r="F6" s="385"/>
      <c r="G6" s="81"/>
      <c r="H6" s="82"/>
      <c r="I6" s="83"/>
      <c r="J6" s="282" t="str">
        <f t="shared" si="2"/>
        <v/>
      </c>
      <c r="K6" s="200">
        <v>3</v>
      </c>
      <c r="L6" s="133">
        <f t="shared" si="3"/>
        <v>0</v>
      </c>
      <c r="M6" s="135" t="s">
        <v>5</v>
      </c>
      <c r="N6" s="190"/>
      <c r="O6" s="252">
        <f>SUMIFS($G$3:$G$47,$L$3:$L$47,1,$F$3:$F$47,"Kreditkarte")</f>
        <v>0</v>
      </c>
      <c r="P6" s="252">
        <f>SUMIFS($G$3:$G$47,$L$3:$L$47,2,$F$3:$F$47,"Kreditkarte")</f>
        <v>0</v>
      </c>
      <c r="Q6" s="252">
        <f>SUMIFS($G$3:$G$47,$L$3:$L$47,3,$F$3:$F$47,"Kreditkarte")</f>
        <v>0</v>
      </c>
      <c r="R6" s="252">
        <f>SUMIFS($G$3:$G$47,$L$3:$L$47,4,$F$3:$F$47,"Kreditkarte")</f>
        <v>0</v>
      </c>
      <c r="S6" s="252">
        <f>SUMIFS($G$3:$G$47,$L$3:$L$47,5,$F$3:$F$47,"Kreditkarte")</f>
        <v>0</v>
      </c>
      <c r="T6" s="252">
        <f>SUMIFS($G$3:$G$47,$L$3:$L$47,6,$F$3:$F$47,"Kreditkarte")</f>
        <v>0</v>
      </c>
      <c r="U6" s="252">
        <f>SUMIFS($G$3:$G$47,$L$3:$L$47,7,$F$3:$F$47,"Kreditkarte")</f>
        <v>0</v>
      </c>
      <c r="V6" s="252">
        <f>SUMIFS($G$3:$G$47,$L$3:$L$47,8,$F$3:$F$47,"Kreditkarte")</f>
        <v>0</v>
      </c>
      <c r="W6" s="252">
        <f>SUMIFS($G$3:$G$47,$L$3:$L$47,9,$F$3:$F$47,"Kreditkarte")</f>
        <v>0</v>
      </c>
      <c r="X6" s="252">
        <f>SUMIFS($G$3:$G$47,$L$3:$L$47,10,$F$3:$F$47,"Kreditkarte")</f>
        <v>0</v>
      </c>
      <c r="Y6" s="252">
        <f>SUMIFS($G$3:$G$47,$L$3:$L$47,11,$F$3:$F$47,"Kreditkarte")</f>
        <v>0</v>
      </c>
      <c r="Z6" s="252">
        <f>SUMIFS($G$3:$G$47,$L$3:$L$47,12,$F$3:$F$47,"Kreditkarte")</f>
        <v>0</v>
      </c>
      <c r="AA6" s="255">
        <f t="shared" ref="AA6:AA8" si="4">SUM(O6:Z6)</f>
        <v>0</v>
      </c>
      <c r="AB6" s="256" t="s">
        <v>142</v>
      </c>
    </row>
    <row r="7" spans="1:28" ht="13.35" customHeight="1">
      <c r="A7" s="50" t="s">
        <v>5</v>
      </c>
      <c r="B7" s="141"/>
      <c r="C7" s="80"/>
      <c r="D7" s="93"/>
      <c r="E7" s="969"/>
      <c r="F7" s="385"/>
      <c r="G7" s="81"/>
      <c r="H7" s="82"/>
      <c r="I7" s="83"/>
      <c r="J7" s="282" t="str">
        <f t="shared" si="2"/>
        <v/>
      </c>
      <c r="K7" s="200">
        <v>4</v>
      </c>
      <c r="L7" s="133">
        <f t="shared" si="3"/>
        <v>0</v>
      </c>
      <c r="M7" s="135" t="s">
        <v>5</v>
      </c>
      <c r="O7" s="252">
        <f>SUMIFS($G$3:$G$47,$L$3:$L$47,1,$F$3:$F$47,"Geldbeutel")</f>
        <v>0</v>
      </c>
      <c r="P7" s="252">
        <f>SUMIFS($G$3:$G$47,$L$3:$L$47,2,$F$3:$F$47,"Geldbeutel")</f>
        <v>0</v>
      </c>
      <c r="Q7" s="252">
        <f>SUMIFS($G$3:$G$47,$L$3:$L$47,3,$F$3:$F$47,"Geldbeutel")</f>
        <v>0</v>
      </c>
      <c r="R7" s="252">
        <f>SUMIFS($G$3:$G$47,$L$3:$L$47,4,$F$3:$F$47,"Geldbeutel")</f>
        <v>0</v>
      </c>
      <c r="S7" s="252">
        <f>SUMIFS($G$3:$G$47,$L$3:$L$47,5,$F$3:$F$47,"Geldbeutel")</f>
        <v>0</v>
      </c>
      <c r="T7" s="252">
        <f>SUMIFS($G$3:$G$47,$L$3:$L$47,6,$F$3:$F$47,"Geldbeutel")</f>
        <v>0</v>
      </c>
      <c r="U7" s="252">
        <f>SUMIFS($G$3:$G$47,$L$3:$L$47,7,$F$3:$F$47,"Geldbeutel")</f>
        <v>0</v>
      </c>
      <c r="V7" s="252">
        <f>SUMIFS($G$3:$G$47,$L$3:$L$47,8,$F$3:$F$47,"Geldbeutel")</f>
        <v>0</v>
      </c>
      <c r="W7" s="252">
        <f>SUMIFS($G$3:$G$47,$L$3:$L$47,9,$F$3:$F$47,"Geldbeutel")</f>
        <v>0</v>
      </c>
      <c r="X7" s="252">
        <f>SUMIFS($G$3:$G$47,$L$3:$L$47,10,$F$3:$F$47,"Geldbeutel")</f>
        <v>0</v>
      </c>
      <c r="Y7" s="252">
        <f>SUMIFS($G$3:$G$47,$L$3:$L$47,11,$F$3:$F$47,"Geldbeutel")</f>
        <v>0</v>
      </c>
      <c r="Z7" s="252">
        <f>SUMIFS($G$3:$G$47,$L$3:$L$47,12,$F$3:$F$47,"Geldbeutel")</f>
        <v>0</v>
      </c>
      <c r="AA7" s="253">
        <f t="shared" si="4"/>
        <v>0</v>
      </c>
      <c r="AB7" s="254" t="s">
        <v>139</v>
      </c>
    </row>
    <row r="8" spans="1:28" ht="13.35" customHeight="1">
      <c r="A8" s="50" t="s">
        <v>5</v>
      </c>
      <c r="B8" s="141"/>
      <c r="C8" s="80"/>
      <c r="D8" s="93"/>
      <c r="E8" s="969"/>
      <c r="F8" s="385"/>
      <c r="G8" s="81"/>
      <c r="H8" s="82"/>
      <c r="I8" s="83"/>
      <c r="J8" s="282" t="str">
        <f t="shared" si="2"/>
        <v/>
      </c>
      <c r="K8" s="200">
        <v>5</v>
      </c>
      <c r="L8" s="133">
        <f t="shared" si="3"/>
        <v>0</v>
      </c>
      <c r="M8" s="135" t="s">
        <v>5</v>
      </c>
      <c r="O8" s="252">
        <f>SUMIFS($G$3:$G$47,$L$3:$L$47,1,$F$3:$F$47,"X")</f>
        <v>0</v>
      </c>
      <c r="P8" s="252">
        <f>SUMIFS($G$3:$G$47,$L$3:$L$47,2,$F$3:$F$47,"X")</f>
        <v>0</v>
      </c>
      <c r="Q8" s="252">
        <f>SUMIFS($G$3:$G$47,$L$3:$L$47,3,$F$3:$F$47,"X")</f>
        <v>0</v>
      </c>
      <c r="R8" s="252">
        <f>SUMIFS($G$3:$G$47,$L$3:$L$47,4,$F$3:$F$47,"X")</f>
        <v>0</v>
      </c>
      <c r="S8" s="252">
        <f>SUMIFS($G$3:$G$47,$L$3:$L$47,5,$F$3:$F$47,"X")</f>
        <v>0</v>
      </c>
      <c r="T8" s="252">
        <f>SUMIFS($G$3:$G$47,$L$3:$L$47,6,$F$3:$F$47,"X")</f>
        <v>0</v>
      </c>
      <c r="U8" s="252">
        <f>SUMIFS($G$3:$G$47,$L$3:$L$47,7,$F$3:$F$47,"X")</f>
        <v>0</v>
      </c>
      <c r="V8" s="252">
        <f>SUMIFS($G$3:$G$47,$L$3:$L$47,8,$F$3:$F$47,"X")</f>
        <v>0</v>
      </c>
      <c r="W8" s="252">
        <f>SUMIFS($G$3:$G$47,$L$3:$L$47,9,$F$3:$F$47,"X")</f>
        <v>0</v>
      </c>
      <c r="X8" s="252">
        <f>SUMIFS($G$3:$G$47,$L$3:$L$47,10,$F$3:$F$47,"X")</f>
        <v>0</v>
      </c>
      <c r="Y8" s="252">
        <f>SUMIFS($G$3:$G$47,$L$3:$L$47,11,$F$3:$F$47,"X")</f>
        <v>0</v>
      </c>
      <c r="Z8" s="252">
        <f>SUMIFS($G$3:$G$47,$L$3:$L$47,12,$F$3:$F$47,"X")</f>
        <v>0</v>
      </c>
      <c r="AA8" s="255">
        <f t="shared" si="4"/>
        <v>0</v>
      </c>
      <c r="AB8" s="256" t="s">
        <v>192</v>
      </c>
    </row>
    <row r="9" spans="1:28" ht="13.35" customHeight="1">
      <c r="A9" s="50" t="s">
        <v>5</v>
      </c>
      <c r="B9" s="141"/>
      <c r="C9" s="80"/>
      <c r="D9" s="93"/>
      <c r="E9" s="969"/>
      <c r="F9" s="385"/>
      <c r="G9" s="81"/>
      <c r="H9" s="82"/>
      <c r="I9" s="83"/>
      <c r="J9" s="282" t="str">
        <f t="shared" si="2"/>
        <v/>
      </c>
      <c r="K9" s="200">
        <v>6</v>
      </c>
      <c r="L9" s="133">
        <f t="shared" si="3"/>
        <v>0</v>
      </c>
      <c r="M9" s="135" t="s">
        <v>5</v>
      </c>
      <c r="N9" s="191">
        <f>IF(OR(AND(AA14&lt;&gt;0,B48="x"),(O14+AA13)&lt;&gt;H48),1,0)</f>
        <v>0</v>
      </c>
      <c r="O9" s="257">
        <f>SUM(O5:O8)</f>
        <v>0</v>
      </c>
      <c r="P9" s="257">
        <f t="shared" ref="P9:Z9" si="5">SUM(P5:P8)</f>
        <v>0</v>
      </c>
      <c r="Q9" s="257">
        <f t="shared" si="5"/>
        <v>0</v>
      </c>
      <c r="R9" s="257">
        <f t="shared" si="5"/>
        <v>0</v>
      </c>
      <c r="S9" s="257">
        <f t="shared" si="5"/>
        <v>0</v>
      </c>
      <c r="T9" s="257">
        <f t="shared" si="5"/>
        <v>0</v>
      </c>
      <c r="U9" s="257">
        <f t="shared" si="5"/>
        <v>0</v>
      </c>
      <c r="V9" s="257">
        <f t="shared" si="5"/>
        <v>0</v>
      </c>
      <c r="W9" s="257">
        <f t="shared" si="5"/>
        <v>0</v>
      </c>
      <c r="X9" s="257">
        <f t="shared" si="5"/>
        <v>0</v>
      </c>
      <c r="Y9" s="257">
        <f t="shared" si="5"/>
        <v>0</v>
      </c>
      <c r="Z9" s="257">
        <f t="shared" si="5"/>
        <v>0</v>
      </c>
      <c r="AA9" s="1211" t="s">
        <v>197</v>
      </c>
      <c r="AB9" s="1212"/>
    </row>
    <row r="10" spans="1:28" ht="13.35" customHeight="1">
      <c r="A10" s="50" t="s">
        <v>5</v>
      </c>
      <c r="B10" s="141"/>
      <c r="C10" s="80"/>
      <c r="D10" s="93"/>
      <c r="E10" s="969"/>
      <c r="F10" s="385"/>
      <c r="G10" s="81"/>
      <c r="H10" s="82"/>
      <c r="I10" s="83"/>
      <c r="J10" s="282" t="str">
        <f t="shared" si="2"/>
        <v/>
      </c>
      <c r="K10" s="200">
        <v>7</v>
      </c>
      <c r="L10" s="133">
        <f t="shared" si="3"/>
        <v>0</v>
      </c>
      <c r="M10" s="135" t="s">
        <v>5</v>
      </c>
      <c r="N10" s="259">
        <f>IF(O10+AA10&lt;&gt;G48,1,0)</f>
        <v>0</v>
      </c>
      <c r="O10" s="1230">
        <f>SUM(O5:Z8)</f>
        <v>0</v>
      </c>
      <c r="P10" s="1231"/>
      <c r="Q10" s="1231"/>
      <c r="R10" s="1231"/>
      <c r="S10" s="1231"/>
      <c r="T10" s="1231"/>
      <c r="U10" s="1231"/>
      <c r="V10" s="1231"/>
      <c r="W10" s="1231"/>
      <c r="X10" s="1231"/>
      <c r="Y10" s="1231"/>
      <c r="Z10" s="1232"/>
      <c r="AA10" s="292">
        <f>+G48-AA7-AA6-AA5-AA8</f>
        <v>0</v>
      </c>
      <c r="AB10" s="293" t="s">
        <v>205</v>
      </c>
    </row>
    <row r="11" spans="1:28" ht="13.35" customHeight="1">
      <c r="A11" s="50" t="s">
        <v>5</v>
      </c>
      <c r="B11" s="141"/>
      <c r="C11" s="80"/>
      <c r="D11" s="93"/>
      <c r="E11" s="969"/>
      <c r="F11" s="385"/>
      <c r="G11" s="81"/>
      <c r="H11" s="82"/>
      <c r="I11" s="83"/>
      <c r="J11" s="282" t="str">
        <f t="shared" si="2"/>
        <v/>
      </c>
      <c r="K11" s="200">
        <v>8</v>
      </c>
      <c r="L11" s="133">
        <f t="shared" si="3"/>
        <v>0</v>
      </c>
      <c r="M11" s="135" t="s">
        <v>5</v>
      </c>
      <c r="O11" s="1248" t="str">
        <f>IF(N4&gt;0,"Fehler!","")</f>
        <v/>
      </c>
      <c r="P11" s="1248"/>
      <c r="Q11" s="1248"/>
      <c r="R11" s="1248"/>
      <c r="S11" s="1248"/>
      <c r="T11" s="1248"/>
      <c r="U11" s="1248"/>
      <c r="V11" s="1248"/>
      <c r="W11" s="1248"/>
      <c r="X11" s="1248"/>
      <c r="Y11" s="1248"/>
      <c r="Z11" s="1248"/>
    </row>
    <row r="12" spans="1:28" ht="13.35" customHeight="1">
      <c r="A12" s="50" t="s">
        <v>5</v>
      </c>
      <c r="B12" s="141"/>
      <c r="C12" s="80"/>
      <c r="D12" s="93"/>
      <c r="E12" s="969"/>
      <c r="F12" s="385"/>
      <c r="G12" s="81"/>
      <c r="H12" s="82"/>
      <c r="I12" s="83"/>
      <c r="J12" s="282" t="str">
        <f t="shared" si="2"/>
        <v/>
      </c>
      <c r="K12" s="200">
        <v>9</v>
      </c>
      <c r="L12" s="133">
        <f t="shared" si="3"/>
        <v>0</v>
      </c>
      <c r="M12" s="135" t="s">
        <v>5</v>
      </c>
    </row>
    <row r="13" spans="1:28" ht="13.35" customHeight="1">
      <c r="A13" s="50" t="s">
        <v>5</v>
      </c>
      <c r="B13" s="141"/>
      <c r="C13" s="80"/>
      <c r="D13" s="93"/>
      <c r="E13" s="969"/>
      <c r="F13" s="385"/>
      <c r="G13" s="81"/>
      <c r="H13" s="82"/>
      <c r="I13" s="83"/>
      <c r="J13" s="282" t="str">
        <f t="shared" si="2"/>
        <v/>
      </c>
      <c r="K13" s="200">
        <v>10</v>
      </c>
      <c r="L13" s="133">
        <f t="shared" si="3"/>
        <v>0</v>
      </c>
      <c r="M13" s="135" t="s">
        <v>5</v>
      </c>
      <c r="AB13" s="249"/>
    </row>
    <row r="14" spans="1:28" ht="13.35" customHeight="1">
      <c r="A14" s="50" t="s">
        <v>5</v>
      </c>
      <c r="B14" s="141"/>
      <c r="C14" s="80"/>
      <c r="D14" s="93"/>
      <c r="E14" s="969"/>
      <c r="F14" s="385"/>
      <c r="G14" s="81"/>
      <c r="H14" s="82"/>
      <c r="I14" s="83"/>
      <c r="J14" s="282" t="str">
        <f t="shared" si="2"/>
        <v/>
      </c>
      <c r="K14" s="200">
        <v>11</v>
      </c>
      <c r="L14" s="133">
        <f t="shared" si="3"/>
        <v>0</v>
      </c>
      <c r="M14" s="135" t="s">
        <v>5</v>
      </c>
      <c r="AB14" s="250"/>
    </row>
    <row r="15" spans="1:28" ht="13.35" customHeight="1">
      <c r="A15" s="50" t="s">
        <v>5</v>
      </c>
      <c r="B15" s="141"/>
      <c r="C15" s="260"/>
      <c r="D15" s="93"/>
      <c r="E15" s="969"/>
      <c r="F15" s="385"/>
      <c r="G15" s="81"/>
      <c r="H15" s="82"/>
      <c r="I15" s="83"/>
      <c r="J15" s="282" t="str">
        <f t="shared" si="2"/>
        <v/>
      </c>
      <c r="K15" s="200">
        <v>12</v>
      </c>
      <c r="L15" s="133">
        <f t="shared" si="3"/>
        <v>0</v>
      </c>
      <c r="M15" s="135" t="s">
        <v>5</v>
      </c>
    </row>
    <row r="16" spans="1:28" ht="13.35" customHeight="1">
      <c r="A16" s="50" t="s">
        <v>5</v>
      </c>
      <c r="B16" s="141"/>
      <c r="C16" s="80"/>
      <c r="D16" s="93"/>
      <c r="E16" s="969"/>
      <c r="F16" s="385"/>
      <c r="G16" s="81"/>
      <c r="H16" s="82"/>
      <c r="I16" s="83"/>
      <c r="J16" s="282" t="str">
        <f t="shared" si="2"/>
        <v/>
      </c>
      <c r="K16" s="200">
        <v>13</v>
      </c>
      <c r="L16" s="133">
        <f t="shared" si="3"/>
        <v>0</v>
      </c>
      <c r="M16" s="135" t="s">
        <v>5</v>
      </c>
      <c r="O16" s="204" t="s">
        <v>36</v>
      </c>
      <c r="P16" s="204" t="s">
        <v>37</v>
      </c>
      <c r="Q16" s="204" t="s">
        <v>38</v>
      </c>
      <c r="R16" s="204" t="s">
        <v>39</v>
      </c>
      <c r="S16" s="204" t="s">
        <v>40</v>
      </c>
      <c r="T16" s="204" t="s">
        <v>41</v>
      </c>
      <c r="U16" s="204" t="s">
        <v>42</v>
      </c>
      <c r="V16" s="204" t="s">
        <v>43</v>
      </c>
      <c r="W16" s="204" t="s">
        <v>44</v>
      </c>
      <c r="X16" s="204" t="s">
        <v>45</v>
      </c>
      <c r="Y16" s="204" t="s">
        <v>46</v>
      </c>
      <c r="Z16" s="204" t="s">
        <v>47</v>
      </c>
      <c r="AA16" s="220">
        <f>IF(O18+AA17&lt;&gt;J48,1,0)</f>
        <v>0</v>
      </c>
    </row>
    <row r="17" spans="1:28" ht="13.35" customHeight="1" thickBot="1">
      <c r="A17" s="50" t="s">
        <v>5</v>
      </c>
      <c r="B17" s="141"/>
      <c r="C17" s="80"/>
      <c r="D17" s="93"/>
      <c r="E17" s="969"/>
      <c r="F17" s="385"/>
      <c r="G17" s="81"/>
      <c r="H17" s="82"/>
      <c r="I17" s="83"/>
      <c r="J17" s="282" t="str">
        <f t="shared" si="2"/>
        <v/>
      </c>
      <c r="K17" s="200">
        <v>14</v>
      </c>
      <c r="L17" s="133">
        <f t="shared" si="3"/>
        <v>0</v>
      </c>
      <c r="M17" s="135" t="s">
        <v>5</v>
      </c>
      <c r="O17" s="202">
        <f>SUMIF($L$3:$L$47,1,$J$3:$J$47)</f>
        <v>0</v>
      </c>
      <c r="P17" s="202">
        <f>SUMIF($L$3:$L$47,2,$J$3:$J$47)</f>
        <v>0</v>
      </c>
      <c r="Q17" s="202">
        <f>SUMIF($L$3:$L$47,3,$J$3:$J$47)</f>
        <v>0</v>
      </c>
      <c r="R17" s="202">
        <f>SUMIF($L$3:$L$47,4,$J$3:$J$47)</f>
        <v>0</v>
      </c>
      <c r="S17" s="202">
        <f>SUMIF($L$3:$L$47,5,$J$3:$J$47)</f>
        <v>0</v>
      </c>
      <c r="T17" s="202">
        <f>SUMIF($L$3:$L$47,6,$J$3:$J$47)</f>
        <v>0</v>
      </c>
      <c r="U17" s="202">
        <f>SUMIF($L$3:$L$47,7,$J$3:$J$47)</f>
        <v>0</v>
      </c>
      <c r="V17" s="202">
        <f>SUMIF($L$3:$L$47,8,$J$3:$J$47)</f>
        <v>0</v>
      </c>
      <c r="W17" s="202">
        <f>SUMIF($L$3:$L$47,9,$J$3:$J$47)</f>
        <v>0</v>
      </c>
      <c r="X17" s="202">
        <f>SUMIF($L$3:$L$47,10,$J$3:$J$47)</f>
        <v>0</v>
      </c>
      <c r="Y17" s="202">
        <f>SUMIF($L$3:$L$47,11,$J$3:$J$47)</f>
        <v>0</v>
      </c>
      <c r="Z17" s="202">
        <f>SUMIF($L$3:$L$47,12,$J$3:$J$47)</f>
        <v>0</v>
      </c>
      <c r="AA17" s="1220">
        <f>SUMIF($L$3:$L$47,0,$J$3:$J$47)</f>
        <v>0</v>
      </c>
      <c r="AB17" s="1221"/>
    </row>
    <row r="18" spans="1:28" ht="13.35" customHeight="1">
      <c r="A18" s="50" t="s">
        <v>5</v>
      </c>
      <c r="B18" s="141"/>
      <c r="C18" s="80"/>
      <c r="D18" s="93"/>
      <c r="E18" s="969"/>
      <c r="F18" s="385"/>
      <c r="G18" s="81"/>
      <c r="H18" s="82"/>
      <c r="I18" s="83"/>
      <c r="J18" s="282" t="str">
        <f t="shared" si="2"/>
        <v/>
      </c>
      <c r="K18" s="200">
        <v>15</v>
      </c>
      <c r="L18" s="133">
        <f t="shared" si="3"/>
        <v>0</v>
      </c>
      <c r="M18" s="135" t="s">
        <v>5</v>
      </c>
      <c r="O18" s="1216">
        <f>SUM(O17:Z17)</f>
        <v>0</v>
      </c>
      <c r="P18" s="1217"/>
      <c r="Q18" s="1217"/>
      <c r="R18" s="1217"/>
      <c r="S18" s="1217"/>
      <c r="T18" s="1217"/>
      <c r="U18" s="1217"/>
      <c r="V18" s="1217"/>
      <c r="W18" s="1217"/>
      <c r="X18" s="1217"/>
      <c r="Y18" s="1217"/>
      <c r="Z18" s="1218"/>
      <c r="AA18" s="1222">
        <f>SUM(O17:Z17)+AA17</f>
        <v>0</v>
      </c>
      <c r="AB18" s="1223"/>
    </row>
    <row r="19" spans="1:28" ht="13.35" customHeight="1">
      <c r="A19" s="50" t="s">
        <v>5</v>
      </c>
      <c r="B19" s="141"/>
      <c r="C19" s="80"/>
      <c r="D19" s="93"/>
      <c r="E19" s="969"/>
      <c r="F19" s="385"/>
      <c r="G19" s="81"/>
      <c r="H19" s="82"/>
      <c r="I19" s="83"/>
      <c r="J19" s="282" t="str">
        <f t="shared" si="2"/>
        <v/>
      </c>
      <c r="K19" s="200">
        <v>16</v>
      </c>
      <c r="L19" s="133">
        <f t="shared" si="3"/>
        <v>0</v>
      </c>
      <c r="M19" s="135" t="s">
        <v>5</v>
      </c>
    </row>
    <row r="20" spans="1:28" ht="13.35" customHeight="1">
      <c r="A20" s="50" t="s">
        <v>5</v>
      </c>
      <c r="B20" s="141"/>
      <c r="C20" s="80"/>
      <c r="D20" s="93"/>
      <c r="E20" s="969"/>
      <c r="F20" s="385"/>
      <c r="G20" s="81"/>
      <c r="H20" s="82"/>
      <c r="I20" s="83"/>
      <c r="J20" s="282" t="str">
        <f t="shared" si="2"/>
        <v/>
      </c>
      <c r="K20" s="200">
        <v>17</v>
      </c>
      <c r="L20" s="133">
        <f t="shared" si="3"/>
        <v>0</v>
      </c>
      <c r="M20" s="135" t="s">
        <v>5</v>
      </c>
    </row>
    <row r="21" spans="1:28" ht="13.35" customHeight="1">
      <c r="A21" s="50" t="s">
        <v>5</v>
      </c>
      <c r="B21" s="141"/>
      <c r="C21" s="80"/>
      <c r="D21" s="93"/>
      <c r="E21" s="969"/>
      <c r="F21" s="385"/>
      <c r="G21" s="81"/>
      <c r="H21" s="82"/>
      <c r="I21" s="83"/>
      <c r="J21" s="282" t="str">
        <f t="shared" si="2"/>
        <v/>
      </c>
      <c r="K21" s="200">
        <v>18</v>
      </c>
      <c r="L21" s="133">
        <f t="shared" si="3"/>
        <v>0</v>
      </c>
      <c r="M21" s="135" t="s">
        <v>5</v>
      </c>
    </row>
    <row r="22" spans="1:28" ht="13.35" customHeight="1">
      <c r="A22" s="50" t="s">
        <v>5</v>
      </c>
      <c r="B22" s="141"/>
      <c r="C22" s="80"/>
      <c r="D22" s="93"/>
      <c r="E22" s="969"/>
      <c r="F22" s="385"/>
      <c r="G22" s="81"/>
      <c r="H22" s="82"/>
      <c r="I22" s="83"/>
      <c r="J22" s="282" t="str">
        <f t="shared" si="2"/>
        <v/>
      </c>
      <c r="K22" s="200">
        <v>19</v>
      </c>
      <c r="L22" s="133">
        <f t="shared" si="3"/>
        <v>0</v>
      </c>
      <c r="M22" s="135" t="s">
        <v>5</v>
      </c>
    </row>
    <row r="23" spans="1:28" ht="13.35" customHeight="1">
      <c r="A23" s="50" t="s">
        <v>5</v>
      </c>
      <c r="B23" s="141"/>
      <c r="C23" s="80"/>
      <c r="D23" s="94"/>
      <c r="E23" s="969"/>
      <c r="F23" s="385"/>
      <c r="G23" s="81"/>
      <c r="H23" s="82"/>
      <c r="I23" s="83"/>
      <c r="J23" s="282" t="str">
        <f t="shared" si="2"/>
        <v/>
      </c>
      <c r="K23" s="200">
        <v>20</v>
      </c>
      <c r="L23" s="133">
        <f t="shared" si="3"/>
        <v>0</v>
      </c>
      <c r="M23" s="135" t="s">
        <v>5</v>
      </c>
    </row>
    <row r="24" spans="1:28" ht="13.35" customHeight="1">
      <c r="A24" s="50" t="s">
        <v>5</v>
      </c>
      <c r="B24" s="141"/>
      <c r="C24" s="80"/>
      <c r="D24" s="93"/>
      <c r="E24" s="969"/>
      <c r="F24" s="385"/>
      <c r="G24" s="81"/>
      <c r="H24" s="82"/>
      <c r="I24" s="83"/>
      <c r="J24" s="282" t="str">
        <f t="shared" si="2"/>
        <v/>
      </c>
      <c r="K24" s="200">
        <v>21</v>
      </c>
      <c r="L24" s="133">
        <f t="shared" si="3"/>
        <v>0</v>
      </c>
      <c r="M24" s="135" t="s">
        <v>5</v>
      </c>
      <c r="O24" s="147"/>
      <c r="P24" s="147"/>
      <c r="Q24" s="147"/>
      <c r="R24" s="147"/>
      <c r="S24" s="147"/>
      <c r="T24" s="147"/>
      <c r="U24" s="147"/>
      <c r="V24" s="147"/>
      <c r="W24" s="147"/>
      <c r="X24" s="147"/>
      <c r="Y24" s="147"/>
      <c r="Z24" s="147"/>
      <c r="AA24" s="147"/>
    </row>
    <row r="25" spans="1:28" ht="13.35" customHeight="1">
      <c r="A25" s="50" t="s">
        <v>5</v>
      </c>
      <c r="B25" s="141"/>
      <c r="C25" s="80"/>
      <c r="D25" s="93"/>
      <c r="E25" s="969"/>
      <c r="F25" s="385"/>
      <c r="G25" s="81"/>
      <c r="H25" s="82"/>
      <c r="I25" s="83"/>
      <c r="J25" s="282" t="str">
        <f t="shared" si="2"/>
        <v/>
      </c>
      <c r="K25" s="200">
        <v>22</v>
      </c>
      <c r="L25" s="133">
        <f t="shared" si="3"/>
        <v>0</v>
      </c>
      <c r="M25" s="135" t="s">
        <v>5</v>
      </c>
      <c r="O25" s="147"/>
      <c r="P25" s="147"/>
      <c r="Q25" s="147"/>
      <c r="R25" s="147"/>
      <c r="S25" s="147"/>
      <c r="T25" s="147"/>
      <c r="U25" s="147"/>
      <c r="V25" s="147"/>
      <c r="W25" s="147"/>
      <c r="X25" s="147"/>
      <c r="Y25" s="147"/>
      <c r="Z25" s="147"/>
      <c r="AA25" s="147"/>
    </row>
    <row r="26" spans="1:28" ht="13.35" customHeight="1">
      <c r="A26" s="50" t="s">
        <v>5</v>
      </c>
      <c r="B26" s="141"/>
      <c r="C26" s="80"/>
      <c r="D26" s="93"/>
      <c r="E26" s="969"/>
      <c r="F26" s="385"/>
      <c r="G26" s="81"/>
      <c r="H26" s="82"/>
      <c r="I26" s="83"/>
      <c r="J26" s="282" t="str">
        <f t="shared" si="2"/>
        <v/>
      </c>
      <c r="K26" s="200">
        <v>23</v>
      </c>
      <c r="L26" s="133">
        <f t="shared" si="3"/>
        <v>0</v>
      </c>
      <c r="M26" s="135" t="s">
        <v>5</v>
      </c>
      <c r="O26" s="147"/>
      <c r="P26" s="147"/>
      <c r="Q26" s="147"/>
      <c r="R26" s="147"/>
      <c r="S26" s="147"/>
      <c r="T26" s="147"/>
      <c r="U26" s="147"/>
      <c r="V26" s="147"/>
      <c r="W26" s="147"/>
      <c r="X26" s="147"/>
      <c r="Y26" s="147"/>
      <c r="Z26" s="147"/>
      <c r="AA26" s="147"/>
    </row>
    <row r="27" spans="1:28" ht="13.35" customHeight="1">
      <c r="A27" s="50" t="s">
        <v>5</v>
      </c>
      <c r="B27" s="141"/>
      <c r="C27" s="80"/>
      <c r="D27" s="93"/>
      <c r="E27" s="969"/>
      <c r="F27" s="385"/>
      <c r="G27" s="81"/>
      <c r="H27" s="82"/>
      <c r="I27" s="83"/>
      <c r="J27" s="282" t="str">
        <f t="shared" si="2"/>
        <v/>
      </c>
      <c r="K27" s="200">
        <v>24</v>
      </c>
      <c r="L27" s="133">
        <f t="shared" si="3"/>
        <v>0</v>
      </c>
      <c r="M27" s="135" t="s">
        <v>5</v>
      </c>
    </row>
    <row r="28" spans="1:28" ht="13.35" customHeight="1">
      <c r="A28" s="50" t="s">
        <v>5</v>
      </c>
      <c r="B28" s="141"/>
      <c r="C28" s="80"/>
      <c r="D28" s="93"/>
      <c r="E28" s="969"/>
      <c r="F28" s="385"/>
      <c r="G28" s="81"/>
      <c r="H28" s="82"/>
      <c r="I28" s="83"/>
      <c r="J28" s="282" t="str">
        <f t="shared" si="2"/>
        <v/>
      </c>
      <c r="K28" s="200">
        <v>25</v>
      </c>
      <c r="L28" s="133">
        <f t="shared" si="3"/>
        <v>0</v>
      </c>
      <c r="M28" s="135" t="s">
        <v>5</v>
      </c>
    </row>
    <row r="29" spans="1:28" ht="13.35" customHeight="1">
      <c r="A29" s="50" t="s">
        <v>5</v>
      </c>
      <c r="B29" s="141"/>
      <c r="C29" s="80"/>
      <c r="D29" s="93"/>
      <c r="E29" s="969"/>
      <c r="F29" s="385"/>
      <c r="G29" s="81"/>
      <c r="H29" s="82"/>
      <c r="I29" s="83"/>
      <c r="J29" s="282" t="str">
        <f t="shared" si="2"/>
        <v/>
      </c>
      <c r="K29" s="200">
        <v>26</v>
      </c>
      <c r="L29" s="133">
        <f t="shared" si="3"/>
        <v>0</v>
      </c>
      <c r="M29" s="135" t="s">
        <v>5</v>
      </c>
    </row>
    <row r="30" spans="1:28" ht="13.35" customHeight="1">
      <c r="A30" s="50" t="s">
        <v>5</v>
      </c>
      <c r="B30" s="141"/>
      <c r="C30" s="80"/>
      <c r="D30" s="93"/>
      <c r="E30" s="969"/>
      <c r="F30" s="385"/>
      <c r="G30" s="81"/>
      <c r="H30" s="82"/>
      <c r="I30" s="83"/>
      <c r="J30" s="282" t="str">
        <f t="shared" si="2"/>
        <v/>
      </c>
      <c r="K30" s="200">
        <v>27</v>
      </c>
      <c r="L30" s="133">
        <f t="shared" si="3"/>
        <v>0</v>
      </c>
      <c r="M30" s="135" t="s">
        <v>5</v>
      </c>
      <c r="O30" s="147"/>
      <c r="P30" s="147"/>
      <c r="Q30" s="147"/>
      <c r="R30" s="147"/>
      <c r="S30" s="147"/>
      <c r="T30" s="147"/>
      <c r="U30" s="147"/>
      <c r="V30" s="147"/>
      <c r="W30" s="147"/>
      <c r="X30" s="147"/>
      <c r="Y30" s="147"/>
      <c r="Z30" s="147"/>
      <c r="AA30" s="147"/>
    </row>
    <row r="31" spans="1:28" ht="13.35" customHeight="1">
      <c r="A31" s="50" t="s">
        <v>5</v>
      </c>
      <c r="B31" s="141"/>
      <c r="C31" s="80"/>
      <c r="D31" s="93"/>
      <c r="E31" s="969"/>
      <c r="F31" s="385"/>
      <c r="G31" s="81"/>
      <c r="H31" s="82"/>
      <c r="I31" s="83"/>
      <c r="J31" s="282" t="str">
        <f t="shared" si="2"/>
        <v/>
      </c>
      <c r="K31" s="200">
        <v>28</v>
      </c>
      <c r="L31" s="133">
        <f t="shared" si="3"/>
        <v>0</v>
      </c>
      <c r="M31" s="135" t="s">
        <v>5</v>
      </c>
      <c r="O31" s="147"/>
      <c r="P31" s="147"/>
      <c r="Q31" s="147"/>
      <c r="R31" s="147"/>
      <c r="S31" s="147"/>
      <c r="T31" s="147"/>
      <c r="U31" s="147"/>
      <c r="V31" s="147"/>
      <c r="W31" s="147"/>
      <c r="X31" s="147"/>
      <c r="Y31" s="147"/>
      <c r="Z31" s="147"/>
      <c r="AA31" s="147"/>
    </row>
    <row r="32" spans="1:28" ht="13.35" customHeight="1">
      <c r="A32" s="50" t="s">
        <v>5</v>
      </c>
      <c r="B32" s="141"/>
      <c r="C32" s="80"/>
      <c r="D32" s="93"/>
      <c r="E32" s="969"/>
      <c r="F32" s="385"/>
      <c r="G32" s="81"/>
      <c r="H32" s="82"/>
      <c r="I32" s="83"/>
      <c r="J32" s="282" t="str">
        <f t="shared" si="2"/>
        <v/>
      </c>
      <c r="K32" s="200">
        <v>29</v>
      </c>
      <c r="L32" s="133">
        <f t="shared" si="3"/>
        <v>0</v>
      </c>
      <c r="M32" s="135" t="s">
        <v>5</v>
      </c>
      <c r="O32" s="147"/>
      <c r="P32" s="147"/>
      <c r="Q32" s="147"/>
      <c r="R32" s="147"/>
      <c r="S32" s="147"/>
      <c r="T32" s="147"/>
      <c r="U32" s="147"/>
      <c r="V32" s="147"/>
      <c r="W32" s="147"/>
      <c r="X32" s="147"/>
      <c r="Y32" s="147"/>
      <c r="Z32" s="147"/>
      <c r="AA32" s="147"/>
    </row>
    <row r="33" spans="1:27" ht="13.35" customHeight="1">
      <c r="A33" s="50" t="s">
        <v>5</v>
      </c>
      <c r="B33" s="141"/>
      <c r="C33" s="80"/>
      <c r="D33" s="93"/>
      <c r="E33" s="969"/>
      <c r="F33" s="385"/>
      <c r="G33" s="81"/>
      <c r="H33" s="82"/>
      <c r="I33" s="83"/>
      <c r="J33" s="282" t="str">
        <f t="shared" si="2"/>
        <v/>
      </c>
      <c r="K33" s="200">
        <v>30</v>
      </c>
      <c r="L33" s="133">
        <f t="shared" si="3"/>
        <v>0</v>
      </c>
      <c r="M33" s="135" t="s">
        <v>5</v>
      </c>
      <c r="O33" s="147"/>
      <c r="P33" s="147"/>
      <c r="Q33" s="147"/>
      <c r="R33" s="147"/>
      <c r="S33" s="147"/>
      <c r="T33" s="147"/>
      <c r="U33" s="147"/>
      <c r="V33" s="147"/>
      <c r="W33" s="147"/>
      <c r="X33" s="147"/>
      <c r="Y33" s="147"/>
      <c r="Z33" s="147"/>
      <c r="AA33" s="147"/>
    </row>
    <row r="34" spans="1:27" ht="13.35" customHeight="1">
      <c r="A34" s="50" t="s">
        <v>5</v>
      </c>
      <c r="B34" s="141"/>
      <c r="C34" s="80"/>
      <c r="D34" s="93"/>
      <c r="E34" s="969"/>
      <c r="F34" s="385"/>
      <c r="G34" s="81"/>
      <c r="H34" s="82"/>
      <c r="I34" s="83"/>
      <c r="J34" s="282" t="str">
        <f t="shared" si="2"/>
        <v/>
      </c>
      <c r="K34" s="200">
        <v>31</v>
      </c>
      <c r="L34" s="133">
        <f t="shared" si="3"/>
        <v>0</v>
      </c>
      <c r="M34" s="135" t="s">
        <v>5</v>
      </c>
      <c r="O34" s="147"/>
      <c r="P34" s="147"/>
      <c r="Q34" s="147"/>
      <c r="R34" s="147"/>
      <c r="S34" s="147"/>
      <c r="T34" s="147"/>
      <c r="U34" s="147"/>
      <c r="V34" s="147"/>
      <c r="W34" s="147"/>
      <c r="X34" s="147"/>
      <c r="Y34" s="147"/>
      <c r="Z34" s="147"/>
      <c r="AA34" s="147"/>
    </row>
    <row r="35" spans="1:27" ht="13.35" customHeight="1">
      <c r="A35" s="50" t="s">
        <v>5</v>
      </c>
      <c r="B35" s="141"/>
      <c r="C35" s="80"/>
      <c r="D35" s="93"/>
      <c r="E35" s="969"/>
      <c r="F35" s="385"/>
      <c r="G35" s="81"/>
      <c r="H35" s="82"/>
      <c r="I35" s="83"/>
      <c r="J35" s="282" t="str">
        <f t="shared" si="2"/>
        <v/>
      </c>
      <c r="K35" s="200">
        <v>32</v>
      </c>
      <c r="L35" s="133">
        <f t="shared" si="3"/>
        <v>0</v>
      </c>
      <c r="M35" s="135" t="s">
        <v>5</v>
      </c>
      <c r="O35" s="147"/>
      <c r="P35" s="147"/>
      <c r="Q35" s="147"/>
      <c r="R35" s="147"/>
      <c r="S35" s="147"/>
      <c r="T35" s="147"/>
      <c r="U35" s="147"/>
      <c r="V35" s="147"/>
      <c r="W35" s="147"/>
      <c r="X35" s="147"/>
      <c r="Y35" s="147"/>
      <c r="Z35" s="147"/>
      <c r="AA35" s="147"/>
    </row>
    <row r="36" spans="1:27" ht="13.35" customHeight="1">
      <c r="A36" s="50" t="s">
        <v>5</v>
      </c>
      <c r="B36" s="141"/>
      <c r="C36" s="80"/>
      <c r="D36" s="93"/>
      <c r="E36" s="969"/>
      <c r="F36" s="385"/>
      <c r="G36" s="81"/>
      <c r="H36" s="82"/>
      <c r="I36" s="83"/>
      <c r="J36" s="282" t="str">
        <f t="shared" si="2"/>
        <v/>
      </c>
      <c r="K36" s="200">
        <v>33</v>
      </c>
      <c r="L36" s="133">
        <f t="shared" si="3"/>
        <v>0</v>
      </c>
      <c r="M36" s="135" t="s">
        <v>5</v>
      </c>
      <c r="O36" s="147"/>
      <c r="P36" s="147"/>
      <c r="Q36" s="147"/>
      <c r="R36" s="147"/>
      <c r="S36" s="147"/>
      <c r="T36" s="147"/>
      <c r="U36" s="147"/>
      <c r="V36" s="147"/>
      <c r="W36" s="147"/>
      <c r="X36" s="147"/>
      <c r="Y36" s="147"/>
      <c r="Z36" s="147"/>
      <c r="AA36" s="147"/>
    </row>
    <row r="37" spans="1:27" ht="13.35" customHeight="1">
      <c r="A37" s="50" t="s">
        <v>5</v>
      </c>
      <c r="B37" s="141"/>
      <c r="C37" s="80"/>
      <c r="D37" s="93"/>
      <c r="E37" s="969"/>
      <c r="F37" s="385"/>
      <c r="G37" s="81"/>
      <c r="H37" s="82"/>
      <c r="I37" s="83"/>
      <c r="J37" s="282" t="str">
        <f t="shared" si="2"/>
        <v/>
      </c>
      <c r="K37" s="200">
        <v>34</v>
      </c>
      <c r="L37" s="133">
        <f t="shared" si="3"/>
        <v>0</v>
      </c>
      <c r="M37" s="135" t="s">
        <v>5</v>
      </c>
      <c r="O37" s="147"/>
      <c r="P37" s="147"/>
      <c r="Q37" s="147"/>
      <c r="R37" s="147"/>
      <c r="S37" s="147"/>
      <c r="T37" s="147"/>
      <c r="U37" s="147"/>
      <c r="V37" s="147"/>
      <c r="W37" s="147"/>
      <c r="X37" s="147"/>
      <c r="Y37" s="147"/>
      <c r="Z37" s="147"/>
      <c r="AA37" s="147"/>
    </row>
    <row r="38" spans="1:27" ht="13.35" customHeight="1">
      <c r="A38" s="50" t="s">
        <v>5</v>
      </c>
      <c r="B38" s="141"/>
      <c r="C38" s="80"/>
      <c r="D38" s="93"/>
      <c r="E38" s="969"/>
      <c r="F38" s="385"/>
      <c r="G38" s="81"/>
      <c r="H38" s="82"/>
      <c r="I38" s="83"/>
      <c r="J38" s="282" t="str">
        <f t="shared" si="2"/>
        <v/>
      </c>
      <c r="K38" s="200">
        <v>35</v>
      </c>
      <c r="L38" s="133">
        <f t="shared" si="3"/>
        <v>0</v>
      </c>
      <c r="M38" s="135" t="s">
        <v>5</v>
      </c>
      <c r="O38" s="147"/>
      <c r="P38" s="147"/>
      <c r="Q38" s="147"/>
      <c r="R38" s="147"/>
      <c r="S38" s="147"/>
      <c r="T38" s="147"/>
      <c r="U38" s="147"/>
      <c r="V38" s="147"/>
      <c r="W38" s="147"/>
      <c r="X38" s="147"/>
      <c r="Y38" s="147"/>
      <c r="Z38" s="147"/>
      <c r="AA38" s="147"/>
    </row>
    <row r="39" spans="1:27" ht="13.35" customHeight="1">
      <c r="A39" s="50" t="s">
        <v>5</v>
      </c>
      <c r="B39" s="141"/>
      <c r="C39" s="80"/>
      <c r="D39" s="93"/>
      <c r="E39" s="969"/>
      <c r="F39" s="385"/>
      <c r="G39" s="81"/>
      <c r="H39" s="82"/>
      <c r="I39" s="83"/>
      <c r="J39" s="282" t="str">
        <f t="shared" si="2"/>
        <v/>
      </c>
      <c r="K39" s="200">
        <v>36</v>
      </c>
      <c r="L39" s="133">
        <f t="shared" si="3"/>
        <v>0</v>
      </c>
      <c r="M39" s="135" t="s">
        <v>5</v>
      </c>
      <c r="O39" s="147"/>
      <c r="P39" s="147"/>
      <c r="Q39" s="147"/>
      <c r="R39" s="147"/>
      <c r="S39" s="147"/>
      <c r="T39" s="147"/>
      <c r="U39" s="147"/>
      <c r="V39" s="147"/>
      <c r="W39" s="147"/>
      <c r="X39" s="147"/>
      <c r="Y39" s="147"/>
      <c r="Z39" s="147"/>
      <c r="AA39" s="147"/>
    </row>
    <row r="40" spans="1:27" ht="13.35" customHeight="1">
      <c r="A40" s="50" t="s">
        <v>5</v>
      </c>
      <c r="B40" s="141"/>
      <c r="C40" s="80"/>
      <c r="D40" s="93"/>
      <c r="E40" s="969"/>
      <c r="F40" s="385"/>
      <c r="G40" s="81"/>
      <c r="H40" s="82"/>
      <c r="I40" s="83"/>
      <c r="J40" s="282" t="str">
        <f t="shared" si="2"/>
        <v/>
      </c>
      <c r="K40" s="200">
        <v>37</v>
      </c>
      <c r="L40" s="133">
        <f t="shared" si="3"/>
        <v>0</v>
      </c>
      <c r="M40" s="135" t="s">
        <v>5</v>
      </c>
      <c r="AA40" s="147"/>
    </row>
    <row r="41" spans="1:27" ht="13.35" customHeight="1">
      <c r="A41" s="50" t="s">
        <v>5</v>
      </c>
      <c r="B41" s="141"/>
      <c r="C41" s="80"/>
      <c r="D41" s="93"/>
      <c r="E41" s="969"/>
      <c r="F41" s="385"/>
      <c r="G41" s="81"/>
      <c r="H41" s="82"/>
      <c r="I41" s="83"/>
      <c r="J41" s="282" t="str">
        <f t="shared" si="2"/>
        <v/>
      </c>
      <c r="K41" s="200">
        <v>38</v>
      </c>
      <c r="L41" s="133">
        <f t="shared" si="3"/>
        <v>0</v>
      </c>
      <c r="M41" s="135" t="s">
        <v>5</v>
      </c>
      <c r="O41" s="147"/>
      <c r="P41" s="147"/>
      <c r="Q41" s="147"/>
      <c r="R41" s="147"/>
      <c r="S41" s="147"/>
      <c r="T41" s="147"/>
      <c r="U41" s="147"/>
      <c r="V41" s="147"/>
      <c r="W41" s="147"/>
      <c r="X41" s="147"/>
      <c r="Y41" s="147"/>
      <c r="Z41" s="147"/>
      <c r="AA41" s="147"/>
    </row>
    <row r="42" spans="1:27" ht="13.35" customHeight="1">
      <c r="A42" s="50" t="s">
        <v>5</v>
      </c>
      <c r="B42" s="141"/>
      <c r="C42" s="80"/>
      <c r="D42" s="93"/>
      <c r="E42" s="969"/>
      <c r="F42" s="385"/>
      <c r="G42" s="81"/>
      <c r="H42" s="82"/>
      <c r="I42" s="83"/>
      <c r="J42" s="282" t="str">
        <f t="shared" si="2"/>
        <v/>
      </c>
      <c r="K42" s="200">
        <v>39</v>
      </c>
      <c r="L42" s="133">
        <f t="shared" si="3"/>
        <v>0</v>
      </c>
      <c r="M42" s="135" t="s">
        <v>5</v>
      </c>
      <c r="O42" s="147"/>
      <c r="P42" s="147"/>
      <c r="Q42" s="147"/>
      <c r="R42" s="147"/>
      <c r="S42" s="147"/>
      <c r="T42" s="147"/>
      <c r="U42" s="147"/>
      <c r="V42" s="147"/>
      <c r="W42" s="147"/>
      <c r="X42" s="147"/>
      <c r="Y42" s="147"/>
      <c r="Z42" s="147"/>
      <c r="AA42" s="147"/>
    </row>
    <row r="43" spans="1:27" ht="13.35" customHeight="1">
      <c r="A43" s="50" t="s">
        <v>5</v>
      </c>
      <c r="B43" s="141"/>
      <c r="C43" s="80"/>
      <c r="D43" s="93"/>
      <c r="E43" s="969"/>
      <c r="F43" s="385"/>
      <c r="G43" s="81"/>
      <c r="H43" s="82"/>
      <c r="I43" s="83"/>
      <c r="J43" s="282" t="str">
        <f t="shared" si="2"/>
        <v/>
      </c>
      <c r="K43" s="200">
        <v>40</v>
      </c>
      <c r="L43" s="133">
        <f t="shared" si="3"/>
        <v>0</v>
      </c>
      <c r="M43" s="135" t="s">
        <v>5</v>
      </c>
      <c r="O43" s="147"/>
      <c r="P43" s="147"/>
      <c r="Q43" s="147"/>
      <c r="R43" s="147"/>
      <c r="S43" s="147"/>
      <c r="T43" s="147"/>
      <c r="U43" s="147"/>
      <c r="V43" s="147"/>
      <c r="W43" s="147"/>
      <c r="X43" s="147"/>
      <c r="Y43" s="147"/>
      <c r="Z43" s="147"/>
      <c r="AA43" s="147"/>
    </row>
    <row r="44" spans="1:27" ht="13.35" customHeight="1">
      <c r="A44" s="50" t="s">
        <v>5</v>
      </c>
      <c r="B44" s="141"/>
      <c r="C44" s="80"/>
      <c r="D44" s="93"/>
      <c r="E44" s="969"/>
      <c r="F44" s="385"/>
      <c r="G44" s="81"/>
      <c r="H44" s="82"/>
      <c r="I44" s="83"/>
      <c r="J44" s="282" t="str">
        <f t="shared" si="2"/>
        <v/>
      </c>
      <c r="K44" s="200">
        <v>41</v>
      </c>
      <c r="L44" s="133">
        <f t="shared" si="3"/>
        <v>0</v>
      </c>
      <c r="M44" s="135" t="s">
        <v>5</v>
      </c>
      <c r="O44" s="147"/>
      <c r="P44" s="147"/>
      <c r="Q44" s="147"/>
      <c r="R44" s="147"/>
      <c r="S44" s="147"/>
      <c r="T44" s="147"/>
      <c r="U44" s="147"/>
      <c r="V44" s="147"/>
      <c r="W44" s="147"/>
      <c r="X44" s="147"/>
      <c r="Y44" s="147"/>
      <c r="Z44" s="147"/>
      <c r="AA44" s="147"/>
    </row>
    <row r="45" spans="1:27" ht="13.35" customHeight="1">
      <c r="A45" s="50" t="s">
        <v>5</v>
      </c>
      <c r="B45" s="141"/>
      <c r="C45" s="80"/>
      <c r="D45" s="93"/>
      <c r="E45" s="969"/>
      <c r="F45" s="385"/>
      <c r="G45" s="81"/>
      <c r="H45" s="82"/>
      <c r="I45" s="83"/>
      <c r="J45" s="282" t="str">
        <f t="shared" ref="J45:J46" si="6">IF(G45&lt;&gt;0,+G45-I45,"")</f>
        <v/>
      </c>
      <c r="K45" s="200">
        <v>44</v>
      </c>
      <c r="L45" s="133">
        <f t="shared" ref="L45:L46" si="7">IF(B45&lt;$O$2,0,IF(B45&lt;$P$2,1,IF(B45&lt;$Q$2,2,IF(B45&lt;$R$2,3,IF(B45&lt;$S$2,4,IF(B45&lt;$T$2,5,IF(B45&lt;$U$2,6,IF(B45&lt;$V$2,7,IF(B45&lt;$W$2,8,IF(B45&lt;$X$2,9,IF(B45&lt;$Y$2,10,IF(B45&lt;$Z$2,11,IF(B45&lt;=$Z$3,12,0)))))))))))))</f>
        <v>0</v>
      </c>
      <c r="M45" s="135" t="s">
        <v>5</v>
      </c>
    </row>
    <row r="46" spans="1:27" ht="13.35" customHeight="1" thickBot="1">
      <c r="A46" s="50" t="s">
        <v>5</v>
      </c>
      <c r="B46" s="141"/>
      <c r="C46" s="80"/>
      <c r="D46" s="93"/>
      <c r="E46" s="969"/>
      <c r="F46" s="385"/>
      <c r="G46" s="81"/>
      <c r="H46" s="82"/>
      <c r="I46" s="83"/>
      <c r="J46" s="282" t="str">
        <f t="shared" si="6"/>
        <v/>
      </c>
      <c r="K46" s="200">
        <v>45</v>
      </c>
      <c r="L46" s="133">
        <f t="shared" si="7"/>
        <v>0</v>
      </c>
      <c r="M46" s="135" t="s">
        <v>5</v>
      </c>
    </row>
    <row r="47" spans="1:27" ht="12" customHeight="1" thickTop="1" thickBot="1">
      <c r="A47" s="391" t="s">
        <v>283</v>
      </c>
      <c r="B47" s="1244" t="str">
        <f>IF($A$48=0,"^ Zeile einfügen","bis hierher ziehen!")</f>
        <v>^ Zeile einfügen</v>
      </c>
      <c r="C47" s="1244"/>
      <c r="D47" s="392" t="s">
        <v>5</v>
      </c>
      <c r="E47" s="393" t="s">
        <v>5</v>
      </c>
      <c r="F47" s="394" t="s">
        <v>5</v>
      </c>
      <c r="G47" s="394"/>
      <c r="H47" s="395"/>
      <c r="I47" s="396"/>
      <c r="J47" s="425"/>
      <c r="K47" s="201">
        <v>0</v>
      </c>
      <c r="L47" s="185" t="s">
        <v>5</v>
      </c>
      <c r="M47" s="398" t="s">
        <v>283</v>
      </c>
    </row>
    <row r="48" spans="1:27" ht="12" customHeight="1" thickTop="1" thickBot="1">
      <c r="A48" s="390">
        <f>COUNTBLANK(A3:A47)+A49</f>
        <v>0</v>
      </c>
      <c r="B48" s="193" t="str">
        <f>+EÜR!C9</f>
        <v>ü</v>
      </c>
      <c r="C48" s="194" t="s">
        <v>5</v>
      </c>
      <c r="D48" s="194" t="s">
        <v>5</v>
      </c>
      <c r="E48" s="195" t="s">
        <v>5</v>
      </c>
      <c r="F48" s="196" t="s">
        <v>5</v>
      </c>
      <c r="G48" s="197">
        <f>SUBTOTAL(9,G3:G47)</f>
        <v>0</v>
      </c>
      <c r="H48" s="1242">
        <f>SUBTOTAL(9,I3:I47)</f>
        <v>0</v>
      </c>
      <c r="I48" s="1243">
        <f>SUBTOTAL(9,I3:I47)</f>
        <v>0</v>
      </c>
      <c r="J48" s="1233">
        <f>G48-H48</f>
        <v>0</v>
      </c>
      <c r="K48" s="1234"/>
      <c r="L48" s="1235"/>
      <c r="M48" s="135" t="s">
        <v>5</v>
      </c>
    </row>
    <row r="49" spans="1:14" ht="12" customHeight="1" thickTop="1" thickBot="1">
      <c r="A49" s="390">
        <f>IF(ISERROR(J47),1,0)</f>
        <v>0</v>
      </c>
      <c r="B49" s="192">
        <f>J48-G49-E49-C49</f>
        <v>0</v>
      </c>
      <c r="C49" s="1239">
        <f>SUMIF(F4:F47,"Kreditkarte",G4:G47)</f>
        <v>0</v>
      </c>
      <c r="D49" s="1239"/>
      <c r="E49" s="1240">
        <f>SUMIF(F4:F47,"Konto",G4:G47)</f>
        <v>0</v>
      </c>
      <c r="F49" s="1240"/>
      <c r="G49" s="1241">
        <f>SUMIF(F4:F47,"Geldbeutel",G4:G47)</f>
        <v>0</v>
      </c>
      <c r="H49" s="1241"/>
      <c r="I49" s="1241"/>
      <c r="J49" s="1236"/>
      <c r="K49" s="1237"/>
      <c r="L49" s="1238"/>
      <c r="M49" s="135" t="s">
        <v>5</v>
      </c>
    </row>
    <row r="50" spans="1:14" s="15" customFormat="1" ht="5.25" customHeight="1" thickTop="1">
      <c r="A50" s="36"/>
      <c r="B50" s="2"/>
      <c r="C50" s="3"/>
      <c r="D50" s="3"/>
      <c r="E50" s="1"/>
      <c r="G50" s="16"/>
      <c r="H50" s="16"/>
      <c r="I50" s="17"/>
      <c r="J50" s="18"/>
      <c r="K50" s="18"/>
      <c r="L50" s="31"/>
      <c r="N50" s="148"/>
    </row>
    <row r="51" spans="1:14">
      <c r="A51" s="36"/>
    </row>
  </sheetData>
  <sheetProtection formatCells="0" insertRows="0" deleteRows="0" selectLockedCells="1" sort="0" autoFilter="0"/>
  <mergeCells count="15">
    <mergeCell ref="C2:I2"/>
    <mergeCell ref="J2:L2"/>
    <mergeCell ref="H48:I48"/>
    <mergeCell ref="AA9:AB9"/>
    <mergeCell ref="O10:Z10"/>
    <mergeCell ref="O11:Z11"/>
    <mergeCell ref="AA17:AB17"/>
    <mergeCell ref="O18:Z18"/>
    <mergeCell ref="AA18:AB18"/>
    <mergeCell ref="AA4:AB4"/>
    <mergeCell ref="J48:L49"/>
    <mergeCell ref="C49:D49"/>
    <mergeCell ref="E49:F49"/>
    <mergeCell ref="G49:I49"/>
    <mergeCell ref="B47:C47"/>
  </mergeCells>
  <conditionalFormatting sqref="A4:A46">
    <cfRule type="expression" dxfId="1705" priority="19">
      <formula>ISERROR(J4)</formula>
    </cfRule>
    <cfRule type="cellIs" dxfId="1704" priority="20" operator="equal">
      <formula>""</formula>
    </cfRule>
  </conditionalFormatting>
  <conditionalFormatting sqref="A47:C47">
    <cfRule type="expression" dxfId="1703" priority="4">
      <formula>$A$48&lt;&gt;0</formula>
    </cfRule>
  </conditionalFormatting>
  <conditionalFormatting sqref="B2">
    <cfRule type="expression" dxfId="1702" priority="54" stopIfTrue="1">
      <formula>$B$48="x"</formula>
    </cfRule>
  </conditionalFormatting>
  <conditionalFormatting sqref="B4:B46">
    <cfRule type="cellIs" dxfId="1699" priority="33" operator="equal">
      <formula>""</formula>
    </cfRule>
  </conditionalFormatting>
  <conditionalFormatting sqref="B48">
    <cfRule type="cellIs" dxfId="1698" priority="81" operator="equal">
      <formula>"y"</formula>
    </cfRule>
  </conditionalFormatting>
  <conditionalFormatting sqref="B4:I46">
    <cfRule type="expression" dxfId="1697" priority="29">
      <formula>$B$1="x"</formula>
    </cfRule>
  </conditionalFormatting>
  <conditionalFormatting sqref="B3:J3 J4:J46">
    <cfRule type="expression" dxfId="1696" priority="11063">
      <formula>$B$48="x"</formula>
    </cfRule>
  </conditionalFormatting>
  <conditionalFormatting sqref="B3:L3">
    <cfRule type="expression" dxfId="1695" priority="75">
      <formula>$B$48="x"</formula>
    </cfRule>
  </conditionalFormatting>
  <conditionalFormatting sqref="C4:D46">
    <cfRule type="expression" dxfId="1694" priority="36">
      <formula>AND($B4&lt;&gt;"",$C4="")</formula>
    </cfRule>
  </conditionalFormatting>
  <conditionalFormatting sqref="C49:I49">
    <cfRule type="cellIs" dxfId="1693" priority="80" stopIfTrue="1" operator="lessThan">
      <formula>0</formula>
    </cfRule>
    <cfRule type="cellIs" dxfId="1692" priority="78" stopIfTrue="1" operator="greaterThanOrEqual">
      <formula>0</formula>
    </cfRule>
  </conditionalFormatting>
  <conditionalFormatting sqref="D47:J47">
    <cfRule type="expression" dxfId="1691" priority="6">
      <formula>$A$48&lt;&gt;0</formula>
    </cfRule>
  </conditionalFormatting>
  <conditionalFormatting sqref="H4:H46">
    <cfRule type="expression" dxfId="1690" priority="32">
      <formula>AND(G4&lt;&gt;"",H4="",$I$1&lt;&gt;"x")</formula>
    </cfRule>
  </conditionalFormatting>
  <conditionalFormatting sqref="H4:I46">
    <cfRule type="expression" dxfId="1689" priority="30">
      <formula>AND($I4&lt;&gt;0,$I$1&lt;&gt;"ü")</formula>
    </cfRule>
    <cfRule type="expression" dxfId="1688" priority="31">
      <formula>$I$1&lt;&gt;"ü"</formula>
    </cfRule>
  </conditionalFormatting>
  <conditionalFormatting sqref="J4:L46">
    <cfRule type="expression" dxfId="1686" priority="17881">
      <formula>$B$48="x"</formula>
    </cfRule>
  </conditionalFormatting>
  <conditionalFormatting sqref="J48:L48 C49:L49 C48:H48">
    <cfRule type="expression" dxfId="1685" priority="77">
      <formula>$B$48="x"</formula>
    </cfRule>
  </conditionalFormatting>
  <conditionalFormatting sqref="J48:L49">
    <cfRule type="expression" dxfId="1684" priority="76">
      <formula>AND($B$48="x",$J$48&lt;&gt;0)</formula>
    </cfRule>
  </conditionalFormatting>
  <conditionalFormatting sqref="M3">
    <cfRule type="cellIs" dxfId="1683" priority="28" operator="equal">
      <formula>""</formula>
    </cfRule>
  </conditionalFormatting>
  <conditionalFormatting sqref="M4:M46">
    <cfRule type="expression" dxfId="1682" priority="26">
      <formula>ISERROR(J4)</formula>
    </cfRule>
    <cfRule type="cellIs" dxfId="1681" priority="27" operator="equal">
      <formula>""</formula>
    </cfRule>
  </conditionalFormatting>
  <conditionalFormatting sqref="M47">
    <cfRule type="expression" dxfId="1680" priority="5">
      <formula>$A$48&lt;&gt;0</formula>
    </cfRule>
  </conditionalFormatting>
  <conditionalFormatting sqref="M47:M49">
    <cfRule type="cellIs" dxfId="1679" priority="8" operator="equal">
      <formula>""</formula>
    </cfRule>
  </conditionalFormatting>
  <conditionalFormatting sqref="N10:AB10">
    <cfRule type="expression" dxfId="1678" priority="3">
      <formula>$N$2=0</formula>
    </cfRule>
  </conditionalFormatting>
  <conditionalFormatting sqref="O11:Z11">
    <cfRule type="cellIs" dxfId="1677" priority="62" operator="equal">
      <formula>"Fehler!"</formula>
    </cfRule>
  </conditionalFormatting>
  <conditionalFormatting sqref="O4:AA4">
    <cfRule type="expression" dxfId="1676" priority="53">
      <formula>$N$2=0</formula>
    </cfRule>
  </conditionalFormatting>
  <conditionalFormatting sqref="O2:AB3">
    <cfRule type="expression" dxfId="1674" priority="2">
      <formula>$N$2=0</formula>
    </cfRule>
  </conditionalFormatting>
  <conditionalFormatting sqref="O5:AB8 O9:AA9">
    <cfRule type="expression" dxfId="1673" priority="61">
      <formula>$N$2=0</formula>
    </cfRule>
  </conditionalFormatting>
  <conditionalFormatting sqref="O11:AB49">
    <cfRule type="expression" dxfId="1672" priority="1">
      <formula>$N$2=0</formula>
    </cfRule>
  </conditionalFormatting>
  <dataValidations count="2">
    <dataValidation type="list" allowBlank="1" showInputMessage="1" showErrorMessage="1" sqref="F4:F46" xr:uid="{35B19439-9AD6-4F4D-A59B-350369F7B7CA}">
      <formula1>"Konto,Geldbeutel,Kreditkarte,x"</formula1>
    </dataValidation>
    <dataValidation type="list" allowBlank="1" showInputMessage="1" showErrorMessage="1" sqref="H4:H46" xr:uid="{BB5089E5-B99A-44D5-BC39-EE63DAC8559D}">
      <formula1>"19,7,0,~"</formula1>
    </dataValidation>
  </dataValidations>
  <hyperlinks>
    <hyperlink ref="J2" location="'2022 EÜR'!A1" display="Menü" xr:uid="{9B7D3CFA-63E1-417B-8CFB-887A3AC3C8B2}"/>
    <hyperlink ref="J2:L2" location="EÜR!A1" display="EÜR" xr:uid="{30CFE6FE-EA84-4A20-82CB-0B5A1F3D3D65}"/>
  </hyperlinks>
  <printOptions horizontalCentered="1"/>
  <pageMargins left="0" right="0" top="0" bottom="0.31496062992125984" header="0" footer="0"/>
  <pageSetup paperSize="9" orientation="portrait" r:id="rId1"/>
  <headerFooter>
    <oddFooter>&amp;L&amp;"Arial,Standard"&amp;8Datei: &amp;Z&amp;F/&amp;A&amp;C&amp;"Arial,Standard"&amp;8Seite &amp;P von &amp;N&amp;R&amp;"Arial,Standard"&amp;8Druck: &amp;D&amp;T Uhr</oddFooter>
  </headerFooter>
  <extLst>
    <ext xmlns:x14="http://schemas.microsoft.com/office/spreadsheetml/2009/9/main" uri="{78C0D931-6437-407d-A8EE-F0AAD7539E65}">
      <x14:conditionalFormattings>
        <x14:conditionalFormatting xmlns:xm="http://schemas.microsoft.com/office/excel/2006/main">
          <x14:cfRule type="cellIs" priority="34" operator="greaterThan" id="{7A5E988B-9B79-4628-A10F-930E36557476}">
            <xm:f>EÜR!$I$78</xm:f>
            <x14:dxf>
              <font>
                <b/>
                <i val="0"/>
                <color rgb="FFFFFF00"/>
              </font>
              <fill>
                <patternFill>
                  <bgColor rgb="FFC00000"/>
                </patternFill>
              </fill>
            </x14:dxf>
          </x14:cfRule>
          <x14:cfRule type="cellIs" priority="35" operator="lessThan" id="{08067712-FCED-4084-94A7-CFF1B09B992A}">
            <xm:f>EÜR!$I$77</xm:f>
            <x14:dxf>
              <font>
                <b/>
                <i val="0"/>
                <color rgb="FFFFFF00"/>
              </font>
              <fill>
                <patternFill>
                  <bgColor rgb="FFC00000"/>
                </patternFill>
              </fill>
            </x14:dxf>
          </x14:cfRule>
          <xm:sqref>B4:B46</xm:sqref>
        </x14:conditionalFormatting>
        <x14:conditionalFormatting xmlns:xm="http://schemas.microsoft.com/office/excel/2006/main">
          <x14:cfRule type="expression" priority="59" id="{A0EBDE7E-3BB3-4D98-87C0-A21255FC9F9C}">
            <xm:f>AND(EÜR!$J$66&lt;&gt;"ü",$H$48&lt;&gt;0)</xm:f>
            <x14:dxf>
              <font>
                <b/>
                <i val="0"/>
                <color rgb="FFFFFF00"/>
              </font>
              <fill>
                <patternFill>
                  <bgColor rgb="FFFF0000"/>
                </patternFill>
              </fill>
            </x14:dxf>
          </x14:cfRule>
          <xm:sqref>H48:I48</xm:sqref>
        </x14:conditionalFormatting>
        <x14:conditionalFormatting xmlns:xm="http://schemas.microsoft.com/office/excel/2006/main">
          <x14:cfRule type="expression" priority="55" id="{B88DE77E-AC21-4896-975B-76C56BEE42E7}">
            <xm:f>EÜR!$J$66="-"</xm:f>
            <x14:dxf>
              <font>
                <b/>
                <i val="0"/>
                <color theme="0"/>
              </font>
              <fill>
                <patternFill>
                  <bgColor theme="0"/>
                </patternFill>
              </fill>
              <border>
                <left/>
                <right/>
                <top/>
                <bottom/>
              </border>
            </x14:dxf>
          </x14:cfRule>
          <xm:sqref>O12:AA21</xm:sqref>
        </x14:conditionalFormatting>
      </x14:conditionalFormattings>
    </ext>
  </extLst>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E73A31-AC25-48DB-B041-CD18B37295D1}">
  <sheetPr codeName="Tabelle25">
    <tabColor theme="9" tint="0.39997558519241921"/>
    <pageSetUpPr autoPageBreaks="0"/>
  </sheetPr>
  <dimension ref="A1:AB51"/>
  <sheetViews>
    <sheetView showGridLines="0" showRowColHeaders="0" zoomScaleNormal="100" workbookViewId="0">
      <pane ySplit="3" topLeftCell="A4" activePane="bottomLeft" state="frozen"/>
      <selection activeCell="F4" sqref="F4:F46"/>
      <selection pane="bottomLeft" activeCell="A4" sqref="A4"/>
    </sheetView>
  </sheetViews>
  <sheetFormatPr baseColWidth="10" defaultColWidth="9.77734375" defaultRowHeight="12.75"/>
  <cols>
    <col min="1" max="1" width="0.77734375" style="12" customWidth="1"/>
    <col min="2" max="2" width="7.6640625" style="30" customWidth="1"/>
    <col min="3" max="3" width="21.6640625" style="24" customWidth="1"/>
    <col min="4" max="4" width="7.6640625" style="24" customWidth="1"/>
    <col min="5" max="5" width="6.6640625" style="25" customWidth="1"/>
    <col min="6" max="6" width="9.6640625" style="26" customWidth="1"/>
    <col min="7" max="7" width="9.6640625" style="27" customWidth="1"/>
    <col min="8" max="8" width="2.6640625" style="28" customWidth="1"/>
    <col min="9" max="9" width="6.6640625" style="29" customWidth="1"/>
    <col min="10" max="10" width="9.6640625" style="27" customWidth="1"/>
    <col min="11" max="11" width="2.5546875" style="27" hidden="1" customWidth="1"/>
    <col min="12" max="12" width="1.5546875" style="32" hidden="1" customWidth="1"/>
    <col min="13" max="13" width="0.77734375" style="13" customWidth="1"/>
    <col min="14" max="14" width="1.77734375" style="147" customWidth="1"/>
    <col min="15" max="26" width="8.77734375" style="13" customWidth="1"/>
    <col min="27" max="27" width="10.33203125" style="13" customWidth="1"/>
    <col min="28" max="28" width="8.33203125" style="13" customWidth="1"/>
    <col min="29" max="16384" width="9.77734375" style="13"/>
  </cols>
  <sheetData>
    <row r="1" spans="1:28" s="37" customFormat="1" ht="3" customHeight="1" thickBot="1">
      <c r="A1" s="36"/>
      <c r="B1" s="53" t="str">
        <f>+B48</f>
        <v>ü</v>
      </c>
      <c r="C1" s="54">
        <f>+C49</f>
        <v>0</v>
      </c>
      <c r="D1" s="54"/>
      <c r="E1" s="53">
        <f>+E49</f>
        <v>0</v>
      </c>
      <c r="F1" s="53"/>
      <c r="G1" s="54">
        <f>+G49</f>
        <v>0</v>
      </c>
      <c r="H1" s="53"/>
      <c r="I1" s="338" t="str">
        <f>+EÜR!J66</f>
        <v>-</v>
      </c>
      <c r="J1" s="54">
        <f>+J48</f>
        <v>0</v>
      </c>
      <c r="K1" s="198"/>
      <c r="L1" s="56"/>
      <c r="N1" s="190"/>
    </row>
    <row r="2" spans="1:28" ht="23.1" customHeight="1" thickTop="1" thickBot="1">
      <c r="A2" s="36"/>
      <c r="B2" s="296" t="str">
        <f>+EÜR!D38</f>
        <v>A17</v>
      </c>
      <c r="C2" s="1290" t="str">
        <f>+EÜR!F38</f>
        <v>Kosten für Abfallbeseitigung und Entsorgung</v>
      </c>
      <c r="D2" s="1291"/>
      <c r="E2" s="1291"/>
      <c r="F2" s="1291"/>
      <c r="G2" s="1291"/>
      <c r="H2" s="1291"/>
      <c r="I2" s="1292"/>
      <c r="J2" s="1227" t="s">
        <v>8</v>
      </c>
      <c r="K2" s="1228"/>
      <c r="L2" s="1229"/>
      <c r="M2" s="134"/>
      <c r="N2" s="190">
        <f>IF(OR(B48="x",N3=1),0,1)</f>
        <v>1</v>
      </c>
      <c r="O2" s="188">
        <f>+EOMONTH(EÜR!$I$3,-1)+1</f>
        <v>46023</v>
      </c>
      <c r="P2" s="188">
        <f t="shared" ref="P2:Z2" si="0">+O3+1</f>
        <v>46054</v>
      </c>
      <c r="Q2" s="188">
        <f t="shared" si="0"/>
        <v>46082</v>
      </c>
      <c r="R2" s="188">
        <f t="shared" si="0"/>
        <v>46113</v>
      </c>
      <c r="S2" s="188">
        <f t="shared" si="0"/>
        <v>46143</v>
      </c>
      <c r="T2" s="188">
        <f t="shared" si="0"/>
        <v>46174</v>
      </c>
      <c r="U2" s="188">
        <f t="shared" si="0"/>
        <v>46204</v>
      </c>
      <c r="V2" s="188">
        <f t="shared" si="0"/>
        <v>46235</v>
      </c>
      <c r="W2" s="188">
        <f t="shared" si="0"/>
        <v>46266</v>
      </c>
      <c r="X2" s="188">
        <f t="shared" si="0"/>
        <v>46296</v>
      </c>
      <c r="Y2" s="188">
        <f t="shared" si="0"/>
        <v>46327</v>
      </c>
      <c r="Z2" s="188">
        <f t="shared" si="0"/>
        <v>46357</v>
      </c>
      <c r="AA2" s="48"/>
    </row>
    <row r="3" spans="1:28" ht="14.25" customHeight="1" thickTop="1">
      <c r="A3" s="36" t="s">
        <v>5</v>
      </c>
      <c r="B3" s="58" t="s">
        <v>1</v>
      </c>
      <c r="C3" s="59" t="s">
        <v>6</v>
      </c>
      <c r="D3" s="60"/>
      <c r="E3" s="310" t="s">
        <v>7</v>
      </c>
      <c r="F3" s="61" t="s">
        <v>4</v>
      </c>
      <c r="G3" s="62" t="s">
        <v>31</v>
      </c>
      <c r="H3" s="63" t="s">
        <v>33</v>
      </c>
      <c r="I3" s="64" t="s">
        <v>32</v>
      </c>
      <c r="J3" s="275" t="s">
        <v>34</v>
      </c>
      <c r="K3" s="199">
        <v>0</v>
      </c>
      <c r="L3" s="65" t="s">
        <v>5</v>
      </c>
      <c r="M3" s="135" t="s">
        <v>5</v>
      </c>
      <c r="N3" s="222">
        <f>IF(SUBTOTAL(109,K3:K47)&lt;&gt;SUM(K3:K47),1,0)</f>
        <v>0</v>
      </c>
      <c r="O3" s="189">
        <f>EOMONTH(O2,0)</f>
        <v>46053</v>
      </c>
      <c r="P3" s="189">
        <f t="shared" ref="P3:Z3" si="1">EOMONTH(P2,0)</f>
        <v>46081</v>
      </c>
      <c r="Q3" s="189">
        <f t="shared" si="1"/>
        <v>46112</v>
      </c>
      <c r="R3" s="189">
        <f t="shared" si="1"/>
        <v>46142</v>
      </c>
      <c r="S3" s="189">
        <f t="shared" si="1"/>
        <v>46173</v>
      </c>
      <c r="T3" s="189">
        <f t="shared" si="1"/>
        <v>46203</v>
      </c>
      <c r="U3" s="189">
        <f t="shared" si="1"/>
        <v>46234</v>
      </c>
      <c r="V3" s="189">
        <f t="shared" si="1"/>
        <v>46265</v>
      </c>
      <c r="W3" s="189">
        <f t="shared" si="1"/>
        <v>46295</v>
      </c>
      <c r="X3" s="189">
        <f t="shared" si="1"/>
        <v>46326</v>
      </c>
      <c r="Y3" s="189">
        <f t="shared" si="1"/>
        <v>46356</v>
      </c>
      <c r="Z3" s="189">
        <f t="shared" si="1"/>
        <v>46387</v>
      </c>
      <c r="AB3" s="14"/>
    </row>
    <row r="4" spans="1:28" ht="13.35" customHeight="1">
      <c r="A4" s="50" t="s">
        <v>5</v>
      </c>
      <c r="B4" s="141"/>
      <c r="C4" s="80"/>
      <c r="D4" s="93"/>
      <c r="E4" s="226"/>
      <c r="F4" s="89"/>
      <c r="G4" s="81"/>
      <c r="H4" s="82"/>
      <c r="I4" s="83" t="str">
        <f t="shared" ref="I4:I44" si="2">IF(G4&lt;&gt;"",+G4-G4/(1+H4/100),"")</f>
        <v/>
      </c>
      <c r="J4" s="361" t="str">
        <f t="shared" ref="J4:J44" si="3">IF(G4&lt;&gt;0,+G4-I4,"")</f>
        <v/>
      </c>
      <c r="K4" s="200">
        <v>1</v>
      </c>
      <c r="L4" s="133">
        <f>IF(B4&lt;$O$2,0,IF(B4&lt;$P$2,1,IF(B4&lt;$Q$2,2,IF(B4&lt;$R$2,3,IF(B4&lt;$S$2,4,IF(B4&lt;$T$2,5,IF(B4&lt;$U$2,6,IF(B4&lt;$V$2,7,IF(B4&lt;$W$2,8,IF(B4&lt;$X$2,9,IF(B4&lt;$Y$2,10,IF(B4&lt;$Z$2,11,IF(B4&lt;=$Z$3,12,0)))))))))))))</f>
        <v>0</v>
      </c>
      <c r="M4" s="135" t="s">
        <v>5</v>
      </c>
      <c r="N4" s="190">
        <f>+N10+AA12+AA16</f>
        <v>0</v>
      </c>
      <c r="O4" s="251" t="s">
        <v>36</v>
      </c>
      <c r="P4" s="251" t="s">
        <v>37</v>
      </c>
      <c r="Q4" s="251" t="s">
        <v>38</v>
      </c>
      <c r="R4" s="251" t="s">
        <v>39</v>
      </c>
      <c r="S4" s="251" t="s">
        <v>40</v>
      </c>
      <c r="T4" s="251" t="s">
        <v>41</v>
      </c>
      <c r="U4" s="251" t="s">
        <v>42</v>
      </c>
      <c r="V4" s="251" t="s">
        <v>43</v>
      </c>
      <c r="W4" s="251" t="s">
        <v>44</v>
      </c>
      <c r="X4" s="251" t="s">
        <v>45</v>
      </c>
      <c r="Y4" s="251" t="s">
        <v>46</v>
      </c>
      <c r="Z4" s="251" t="s">
        <v>47</v>
      </c>
      <c r="AA4" s="1209" t="s">
        <v>255</v>
      </c>
      <c r="AB4" s="1210"/>
    </row>
    <row r="5" spans="1:28" ht="13.35" customHeight="1">
      <c r="A5" s="50" t="s">
        <v>5</v>
      </c>
      <c r="B5" s="141"/>
      <c r="C5" s="80"/>
      <c r="D5" s="93"/>
      <c r="E5" s="226"/>
      <c r="F5" s="89"/>
      <c r="G5" s="81"/>
      <c r="H5" s="82"/>
      <c r="I5" s="83" t="str">
        <f t="shared" si="2"/>
        <v/>
      </c>
      <c r="J5" s="361" t="str">
        <f t="shared" si="3"/>
        <v/>
      </c>
      <c r="K5" s="200">
        <v>2</v>
      </c>
      <c r="L5" s="133">
        <f t="shared" ref="L5:L44" si="4">IF(B5&lt;$O$2,0,IF(B5&lt;$P$2,1,IF(B5&lt;$Q$2,2,IF(B5&lt;$R$2,3,IF(B5&lt;$S$2,4,IF(B5&lt;$T$2,5,IF(B5&lt;$U$2,6,IF(B5&lt;$V$2,7,IF(B5&lt;$W$2,8,IF(B5&lt;$X$2,9,IF(B5&lt;$Y$2,10,IF(B5&lt;$Z$2,11,IF(B5&lt;=$Z$3,12,0)))))))))))))</f>
        <v>0</v>
      </c>
      <c r="M5" s="135" t="s">
        <v>5</v>
      </c>
      <c r="O5" s="252">
        <f>SUMIFS($G$3:$G$47,$L$3:$L$47,1,$F$3:$F$47,"Konto")</f>
        <v>0</v>
      </c>
      <c r="P5" s="252">
        <f>SUMIFS($G$3:$G$47,$L$3:$L$47,2,$F$3:$F$47,"Konto")</f>
        <v>0</v>
      </c>
      <c r="Q5" s="252">
        <f>SUMIFS($G$3:$G$47,$L$3:$L$47,3,$F$3:$F$47,"Konto")</f>
        <v>0</v>
      </c>
      <c r="R5" s="252">
        <f>SUMIFS($G$3:$G$47,$L$3:$L$47,4,$F$3:$F$47,"Konto")</f>
        <v>0</v>
      </c>
      <c r="S5" s="252">
        <f>SUMIFS($G$3:$G$47,$L$3:$L$47,5,$F$3:$F$47,"Konto")</f>
        <v>0</v>
      </c>
      <c r="T5" s="252">
        <f>SUMIFS($G$3:$G$47,$L$3:$L$47,6,$F$3:$F$47,"Konto")</f>
        <v>0</v>
      </c>
      <c r="U5" s="252">
        <f>SUMIFS($G$3:$G$47,$L$3:$L$47,7,$F$3:$F$47,"Konto")</f>
        <v>0</v>
      </c>
      <c r="V5" s="252">
        <f>SUMIFS($G$3:$G$47,$L$3:$L$47,8,$F$3:$F$47,"Konto")</f>
        <v>0</v>
      </c>
      <c r="W5" s="252">
        <f>SUMIFS($G$3:$G$47,$L$3:$L$47,9,$F$3:$F$47,"Konto")</f>
        <v>0</v>
      </c>
      <c r="X5" s="252">
        <f>SUMIFS($G$3:$G$47,$L$3:$L$47,10,$F$3:$F$47,"Konto")</f>
        <v>0</v>
      </c>
      <c r="Y5" s="252">
        <f>SUMIFS($G$3:$G$47,$L$3:$L$47,11,$F$3:$F$47,"Konto")</f>
        <v>0</v>
      </c>
      <c r="Z5" s="252">
        <f>SUMIFS($G$3:$G$47,$L$3:$L$47,12,$F$3:$F$47,"Konto")</f>
        <v>0</v>
      </c>
      <c r="AA5" s="253">
        <f>SUM(O5:Z5)</f>
        <v>0</v>
      </c>
      <c r="AB5" s="254" t="s">
        <v>140</v>
      </c>
    </row>
    <row r="6" spans="1:28" ht="13.35" customHeight="1">
      <c r="A6" s="50" t="s">
        <v>5</v>
      </c>
      <c r="B6" s="141"/>
      <c r="C6" s="80"/>
      <c r="D6" s="93"/>
      <c r="E6" s="226"/>
      <c r="F6" s="89"/>
      <c r="G6" s="81"/>
      <c r="H6" s="82"/>
      <c r="I6" s="83" t="str">
        <f t="shared" si="2"/>
        <v/>
      </c>
      <c r="J6" s="361" t="str">
        <f t="shared" si="3"/>
        <v/>
      </c>
      <c r="K6" s="200">
        <v>3</v>
      </c>
      <c r="L6" s="133">
        <f t="shared" si="4"/>
        <v>0</v>
      </c>
      <c r="M6" s="135" t="s">
        <v>5</v>
      </c>
      <c r="N6" s="190"/>
      <c r="O6" s="252">
        <f>SUMIFS($G$3:$G$47,$L$3:$L$47,1,$F$3:$F$47,"Kreditkarte")</f>
        <v>0</v>
      </c>
      <c r="P6" s="252">
        <f>SUMIFS($G$3:$G$47,$L$3:$L$47,2,$F$3:$F$47,"Kreditkarte")</f>
        <v>0</v>
      </c>
      <c r="Q6" s="252">
        <f>SUMIFS($G$3:$G$47,$L$3:$L$47,3,$F$3:$F$47,"Kreditkarte")</f>
        <v>0</v>
      </c>
      <c r="R6" s="252">
        <f>SUMIFS($G$3:$G$47,$L$3:$L$47,4,$F$3:$F$47,"Kreditkarte")</f>
        <v>0</v>
      </c>
      <c r="S6" s="252">
        <f>SUMIFS($G$3:$G$47,$L$3:$L$47,5,$F$3:$F$47,"Kreditkarte")</f>
        <v>0</v>
      </c>
      <c r="T6" s="252">
        <f>SUMIFS($G$3:$G$47,$L$3:$L$47,6,$F$3:$F$47,"Kreditkarte")</f>
        <v>0</v>
      </c>
      <c r="U6" s="252">
        <f>SUMIFS($G$3:$G$47,$L$3:$L$47,7,$F$3:$F$47,"Kreditkarte")</f>
        <v>0</v>
      </c>
      <c r="V6" s="252">
        <f>SUMIFS($G$3:$G$47,$L$3:$L$47,8,$F$3:$F$47,"Kreditkarte")</f>
        <v>0</v>
      </c>
      <c r="W6" s="252">
        <f>SUMIFS($G$3:$G$47,$L$3:$L$47,9,$F$3:$F$47,"Kreditkarte")</f>
        <v>0</v>
      </c>
      <c r="X6" s="252">
        <f>SUMIFS($G$3:$G$47,$L$3:$L$47,10,$F$3:$F$47,"Kreditkarte")</f>
        <v>0</v>
      </c>
      <c r="Y6" s="252">
        <f>SUMIFS($G$3:$G$47,$L$3:$L$47,11,$F$3:$F$47,"Kreditkarte")</f>
        <v>0</v>
      </c>
      <c r="Z6" s="252">
        <f>SUMIFS($G$3:$G$47,$L$3:$L$47,12,$F$3:$F$47,"Kreditkarte")</f>
        <v>0</v>
      </c>
      <c r="AA6" s="255">
        <f t="shared" ref="AA6:AA8" si="5">SUM(O6:Z6)</f>
        <v>0</v>
      </c>
      <c r="AB6" s="256" t="s">
        <v>142</v>
      </c>
    </row>
    <row r="7" spans="1:28" ht="13.35" customHeight="1">
      <c r="A7" s="50" t="s">
        <v>5</v>
      </c>
      <c r="B7" s="141"/>
      <c r="C7" s="80"/>
      <c r="D7" s="93"/>
      <c r="E7" s="226"/>
      <c r="F7" s="89"/>
      <c r="G7" s="81"/>
      <c r="H7" s="82"/>
      <c r="I7" s="83" t="str">
        <f t="shared" si="2"/>
        <v/>
      </c>
      <c r="J7" s="361" t="str">
        <f t="shared" si="3"/>
        <v/>
      </c>
      <c r="K7" s="200">
        <v>4</v>
      </c>
      <c r="L7" s="133">
        <f t="shared" si="4"/>
        <v>0</v>
      </c>
      <c r="M7" s="135" t="s">
        <v>5</v>
      </c>
      <c r="O7" s="252">
        <f>SUMIFS($G$3:$G$47,$L$3:$L$47,1,$F$3:$F$47,"Geldbeutel")</f>
        <v>0</v>
      </c>
      <c r="P7" s="252">
        <f>SUMIFS($G$3:$G$47,$L$3:$L$47,2,$F$3:$F$47,"Geldbeutel")</f>
        <v>0</v>
      </c>
      <c r="Q7" s="252">
        <f>SUMIFS($G$3:$G$47,$L$3:$L$47,3,$F$3:$F$47,"Geldbeutel")</f>
        <v>0</v>
      </c>
      <c r="R7" s="252">
        <f>SUMIFS($G$3:$G$47,$L$3:$L$47,4,$F$3:$F$47,"Geldbeutel")</f>
        <v>0</v>
      </c>
      <c r="S7" s="252">
        <f>SUMIFS($G$3:$G$47,$L$3:$L$47,5,$F$3:$F$47,"Geldbeutel")</f>
        <v>0</v>
      </c>
      <c r="T7" s="252">
        <f>SUMIFS($G$3:$G$47,$L$3:$L$47,6,$F$3:$F$47,"Geldbeutel")</f>
        <v>0</v>
      </c>
      <c r="U7" s="252">
        <f>SUMIFS($G$3:$G$47,$L$3:$L$47,7,$F$3:$F$47,"Geldbeutel")</f>
        <v>0</v>
      </c>
      <c r="V7" s="252">
        <f>SUMIFS($G$3:$G$47,$L$3:$L$47,8,$F$3:$F$47,"Geldbeutel")</f>
        <v>0</v>
      </c>
      <c r="W7" s="252">
        <f>SUMIFS($G$3:$G$47,$L$3:$L$47,9,$F$3:$F$47,"Geldbeutel")</f>
        <v>0</v>
      </c>
      <c r="X7" s="252">
        <f>SUMIFS($G$3:$G$47,$L$3:$L$47,10,$F$3:$F$47,"Geldbeutel")</f>
        <v>0</v>
      </c>
      <c r="Y7" s="252">
        <f>SUMIFS($G$3:$G$47,$L$3:$L$47,11,$F$3:$F$47,"Geldbeutel")</f>
        <v>0</v>
      </c>
      <c r="Z7" s="252">
        <f>SUMIFS($G$3:$G$47,$L$3:$L$47,12,$F$3:$F$47,"Geldbeutel")</f>
        <v>0</v>
      </c>
      <c r="AA7" s="253">
        <f t="shared" si="5"/>
        <v>0</v>
      </c>
      <c r="AB7" s="254" t="s">
        <v>139</v>
      </c>
    </row>
    <row r="8" spans="1:28" ht="13.35" customHeight="1">
      <c r="A8" s="50" t="s">
        <v>5</v>
      </c>
      <c r="B8" s="141"/>
      <c r="C8" s="80"/>
      <c r="D8" s="93"/>
      <c r="E8" s="226"/>
      <c r="F8" s="89"/>
      <c r="G8" s="81"/>
      <c r="H8" s="82"/>
      <c r="I8" s="83" t="str">
        <f t="shared" si="2"/>
        <v/>
      </c>
      <c r="J8" s="361" t="str">
        <f t="shared" si="3"/>
        <v/>
      </c>
      <c r="K8" s="200">
        <v>5</v>
      </c>
      <c r="L8" s="133">
        <f t="shared" si="4"/>
        <v>0</v>
      </c>
      <c r="M8" s="135" t="s">
        <v>5</v>
      </c>
      <c r="O8" s="252">
        <f>SUMIFS($G$3:$G$47,$L$3:$L$47,1,$F$3:$F$47,"X")</f>
        <v>0</v>
      </c>
      <c r="P8" s="252">
        <f>SUMIFS($G$3:$G$47,$L$3:$L$47,2,$F$3:$F$47,"X")</f>
        <v>0</v>
      </c>
      <c r="Q8" s="252">
        <f>SUMIFS($G$3:$G$47,$L$3:$L$47,3,$F$3:$F$47,"X")</f>
        <v>0</v>
      </c>
      <c r="R8" s="252">
        <f>SUMIFS($G$3:$G$47,$L$3:$L$47,4,$F$3:$F$47,"X")</f>
        <v>0</v>
      </c>
      <c r="S8" s="252">
        <f>SUMIFS($G$3:$G$47,$L$3:$L$47,5,$F$3:$F$47,"X")</f>
        <v>0</v>
      </c>
      <c r="T8" s="252">
        <f>SUMIFS($G$3:$G$47,$L$3:$L$47,6,$F$3:$F$47,"X")</f>
        <v>0</v>
      </c>
      <c r="U8" s="252">
        <f>SUMIFS($G$3:$G$47,$L$3:$L$47,7,$F$3:$F$47,"X")</f>
        <v>0</v>
      </c>
      <c r="V8" s="252">
        <f>SUMIFS($G$3:$G$47,$L$3:$L$47,8,$F$3:$F$47,"X")</f>
        <v>0</v>
      </c>
      <c r="W8" s="252">
        <f>SUMIFS($G$3:$G$47,$L$3:$L$47,9,$F$3:$F$47,"X")</f>
        <v>0</v>
      </c>
      <c r="X8" s="252">
        <f>SUMIFS($G$3:$G$47,$L$3:$L$47,10,$F$3:$F$47,"X")</f>
        <v>0</v>
      </c>
      <c r="Y8" s="252">
        <f>SUMIFS($G$3:$G$47,$L$3:$L$47,11,$F$3:$F$47,"X")</f>
        <v>0</v>
      </c>
      <c r="Z8" s="252">
        <f>SUMIFS($G$3:$G$47,$L$3:$L$47,12,$F$3:$F$47,"X")</f>
        <v>0</v>
      </c>
      <c r="AA8" s="255">
        <f t="shared" si="5"/>
        <v>0</v>
      </c>
      <c r="AB8" s="256" t="s">
        <v>192</v>
      </c>
    </row>
    <row r="9" spans="1:28" ht="13.35" customHeight="1">
      <c r="A9" s="50" t="s">
        <v>5</v>
      </c>
      <c r="B9" s="141"/>
      <c r="C9" s="80"/>
      <c r="D9" s="93"/>
      <c r="E9" s="226"/>
      <c r="F9" s="89"/>
      <c r="G9" s="81"/>
      <c r="H9" s="82"/>
      <c r="I9" s="83" t="str">
        <f t="shared" si="2"/>
        <v/>
      </c>
      <c r="J9" s="361" t="str">
        <f t="shared" si="3"/>
        <v/>
      </c>
      <c r="K9" s="200">
        <v>6</v>
      </c>
      <c r="L9" s="133">
        <f t="shared" si="4"/>
        <v>0</v>
      </c>
      <c r="M9" s="135" t="s">
        <v>5</v>
      </c>
      <c r="N9" s="191">
        <f>IF(OR(AND(AA14&lt;&gt;0,B48="x"),(O14+AA13)&lt;&gt;H48),1,0)</f>
        <v>0</v>
      </c>
      <c r="O9" s="257">
        <f>SUM(O5:O8)</f>
        <v>0</v>
      </c>
      <c r="P9" s="257">
        <f t="shared" ref="P9:Z9" si="6">SUM(P5:P8)</f>
        <v>0</v>
      </c>
      <c r="Q9" s="257">
        <f t="shared" si="6"/>
        <v>0</v>
      </c>
      <c r="R9" s="257">
        <f t="shared" si="6"/>
        <v>0</v>
      </c>
      <c r="S9" s="257">
        <f t="shared" si="6"/>
        <v>0</v>
      </c>
      <c r="T9" s="257">
        <f t="shared" si="6"/>
        <v>0</v>
      </c>
      <c r="U9" s="257">
        <f t="shared" si="6"/>
        <v>0</v>
      </c>
      <c r="V9" s="257">
        <f t="shared" si="6"/>
        <v>0</v>
      </c>
      <c r="W9" s="257">
        <f t="shared" si="6"/>
        <v>0</v>
      </c>
      <c r="X9" s="257">
        <f t="shared" si="6"/>
        <v>0</v>
      </c>
      <c r="Y9" s="257">
        <f t="shared" si="6"/>
        <v>0</v>
      </c>
      <c r="Z9" s="257">
        <f t="shared" si="6"/>
        <v>0</v>
      </c>
      <c r="AA9" s="1211" t="s">
        <v>197</v>
      </c>
      <c r="AB9" s="1212"/>
    </row>
    <row r="10" spans="1:28" ht="13.35" customHeight="1">
      <c r="A10" s="50" t="s">
        <v>5</v>
      </c>
      <c r="B10" s="141"/>
      <c r="C10" s="80"/>
      <c r="D10" s="93"/>
      <c r="E10" s="226"/>
      <c r="F10" s="89"/>
      <c r="G10" s="81"/>
      <c r="H10" s="82"/>
      <c r="I10" s="83" t="str">
        <f t="shared" si="2"/>
        <v/>
      </c>
      <c r="J10" s="361" t="str">
        <f t="shared" si="3"/>
        <v/>
      </c>
      <c r="K10" s="200">
        <v>7</v>
      </c>
      <c r="L10" s="133">
        <f t="shared" si="4"/>
        <v>0</v>
      </c>
      <c r="M10" s="135" t="s">
        <v>5</v>
      </c>
      <c r="N10" s="259">
        <f>IF(O10+AA10&lt;&gt;G48,1,0)</f>
        <v>0</v>
      </c>
      <c r="O10" s="1230">
        <f>SUM(O5:Z8)</f>
        <v>0</v>
      </c>
      <c r="P10" s="1231"/>
      <c r="Q10" s="1231"/>
      <c r="R10" s="1231"/>
      <c r="S10" s="1231"/>
      <c r="T10" s="1231"/>
      <c r="U10" s="1231"/>
      <c r="V10" s="1231"/>
      <c r="W10" s="1231"/>
      <c r="X10" s="1231"/>
      <c r="Y10" s="1231"/>
      <c r="Z10" s="1232"/>
      <c r="AA10" s="292">
        <f>+G48-AA7-AA6-AA5-AA8</f>
        <v>0</v>
      </c>
      <c r="AB10" s="293" t="s">
        <v>205</v>
      </c>
    </row>
    <row r="11" spans="1:28" ht="13.35" customHeight="1">
      <c r="A11" s="50" t="s">
        <v>5</v>
      </c>
      <c r="B11" s="141"/>
      <c r="C11" s="80"/>
      <c r="D11" s="93"/>
      <c r="E11" s="226"/>
      <c r="F11" s="89"/>
      <c r="G11" s="81"/>
      <c r="H11" s="82"/>
      <c r="I11" s="83" t="str">
        <f t="shared" si="2"/>
        <v/>
      </c>
      <c r="J11" s="361" t="str">
        <f t="shared" si="3"/>
        <v/>
      </c>
      <c r="K11" s="200">
        <v>8</v>
      </c>
      <c r="L11" s="133">
        <f t="shared" si="4"/>
        <v>0</v>
      </c>
      <c r="M11" s="135" t="s">
        <v>5</v>
      </c>
      <c r="O11" s="1219" t="str">
        <f>IF(N4&gt;0,"Fehler!","")</f>
        <v/>
      </c>
      <c r="P11" s="1219"/>
      <c r="Q11" s="1219"/>
      <c r="R11" s="1219"/>
      <c r="S11" s="1219"/>
      <c r="T11" s="1219"/>
      <c r="U11" s="1219"/>
      <c r="V11" s="1219"/>
      <c r="W11" s="1219"/>
      <c r="X11" s="1219"/>
      <c r="Y11" s="1219"/>
      <c r="Z11" s="1219"/>
    </row>
    <row r="12" spans="1:28" ht="13.35" customHeight="1">
      <c r="A12" s="50" t="s">
        <v>5</v>
      </c>
      <c r="B12" s="141"/>
      <c r="C12" s="80"/>
      <c r="D12" s="93"/>
      <c r="E12" s="226"/>
      <c r="F12" s="89"/>
      <c r="G12" s="81"/>
      <c r="H12" s="82"/>
      <c r="I12" s="83" t="str">
        <f t="shared" si="2"/>
        <v/>
      </c>
      <c r="J12" s="361" t="str">
        <f t="shared" si="3"/>
        <v/>
      </c>
      <c r="K12" s="200">
        <v>9</v>
      </c>
      <c r="L12" s="133">
        <f t="shared" si="4"/>
        <v>0</v>
      </c>
      <c r="M12" s="135" t="s">
        <v>5</v>
      </c>
      <c r="O12" s="203" t="s">
        <v>36</v>
      </c>
      <c r="P12" s="203" t="s">
        <v>37</v>
      </c>
      <c r="Q12" s="203" t="s">
        <v>38</v>
      </c>
      <c r="R12" s="203" t="s">
        <v>39</v>
      </c>
      <c r="S12" s="203" t="s">
        <v>40</v>
      </c>
      <c r="T12" s="203" t="s">
        <v>41</v>
      </c>
      <c r="U12" s="203" t="s">
        <v>42</v>
      </c>
      <c r="V12" s="203" t="s">
        <v>43</v>
      </c>
      <c r="W12" s="203" t="s">
        <v>44</v>
      </c>
      <c r="X12" s="203" t="s">
        <v>45</v>
      </c>
      <c r="Y12" s="203" t="s">
        <v>46</v>
      </c>
      <c r="Z12" s="203" t="s">
        <v>47</v>
      </c>
      <c r="AA12" s="221">
        <f>IF(O14+AA13&lt;&gt;H48,1,0)</f>
        <v>0</v>
      </c>
    </row>
    <row r="13" spans="1:28" ht="13.35" customHeight="1">
      <c r="A13" s="50" t="s">
        <v>5</v>
      </c>
      <c r="B13" s="141"/>
      <c r="C13" s="80"/>
      <c r="D13" s="93"/>
      <c r="E13" s="226"/>
      <c r="F13" s="89"/>
      <c r="G13" s="81"/>
      <c r="H13" s="82"/>
      <c r="I13" s="83" t="str">
        <f t="shared" si="2"/>
        <v/>
      </c>
      <c r="J13" s="361" t="str">
        <f t="shared" si="3"/>
        <v/>
      </c>
      <c r="K13" s="200">
        <v>10</v>
      </c>
      <c r="L13" s="133">
        <f t="shared" si="4"/>
        <v>0</v>
      </c>
      <c r="M13" s="135" t="s">
        <v>5</v>
      </c>
      <c r="O13" s="187">
        <f>SUMIF($L$3:$L$47,1,$I$3:$I$47)</f>
        <v>0</v>
      </c>
      <c r="P13" s="187">
        <f>SUMIF($L$3:$L$47,2,$I$3:$I$47)</f>
        <v>0</v>
      </c>
      <c r="Q13" s="187">
        <f>SUMIF($L$3:$L$47,3,$I$3:$I$47)</f>
        <v>0</v>
      </c>
      <c r="R13" s="187">
        <f>SUMIF($L$3:$L$47,4,$I$3:$I$47)</f>
        <v>0</v>
      </c>
      <c r="S13" s="187">
        <f>SUMIF($L$3:$L$47,5,$I$3:$I$47)</f>
        <v>0</v>
      </c>
      <c r="T13" s="187">
        <f>SUMIF($L$3:$L$47,6,$I$3:$I$47)</f>
        <v>0</v>
      </c>
      <c r="U13" s="187">
        <f>SUMIF($L$3:$L$47,7,$I$3:$I$47)</f>
        <v>0</v>
      </c>
      <c r="V13" s="187">
        <f>SUMIF($L$3:$L$47,8,$I$3:$I$47)</f>
        <v>0</v>
      </c>
      <c r="W13" s="187">
        <f>SUMIF($L$3:$L$47,9,$I$3:$I$47)</f>
        <v>0</v>
      </c>
      <c r="X13" s="187">
        <f>SUMIF($L$3:$L$47,10,$I$3:$I$47)</f>
        <v>0</v>
      </c>
      <c r="Y13" s="187">
        <f>SUMIF($L$3:$L$47,11,$I$3:$I$47)</f>
        <v>0</v>
      </c>
      <c r="Z13" s="187">
        <f>SUMIF($L$3:$L$47,12,$I$3:$I$47)</f>
        <v>0</v>
      </c>
      <c r="AA13" s="1220">
        <f>SUMIF($L$3:$L$47,0,$I$3:$I$47)</f>
        <v>0</v>
      </c>
      <c r="AB13" s="1221"/>
    </row>
    <row r="14" spans="1:28" ht="13.35" customHeight="1">
      <c r="A14" s="50" t="s">
        <v>5</v>
      </c>
      <c r="B14" s="141"/>
      <c r="C14" s="80"/>
      <c r="D14" s="93"/>
      <c r="E14" s="226"/>
      <c r="F14" s="89"/>
      <c r="G14" s="81"/>
      <c r="H14" s="82"/>
      <c r="I14" s="83" t="str">
        <f t="shared" si="2"/>
        <v/>
      </c>
      <c r="J14" s="361" t="str">
        <f t="shared" si="3"/>
        <v/>
      </c>
      <c r="K14" s="200">
        <v>11</v>
      </c>
      <c r="L14" s="133">
        <f t="shared" si="4"/>
        <v>0</v>
      </c>
      <c r="M14" s="135" t="s">
        <v>5</v>
      </c>
      <c r="O14" s="1299">
        <f>SUM(O13:Z13)</f>
        <v>0</v>
      </c>
      <c r="P14" s="1300"/>
      <c r="Q14" s="1300"/>
      <c r="R14" s="1300"/>
      <c r="S14" s="1300"/>
      <c r="T14" s="1300"/>
      <c r="U14" s="1300"/>
      <c r="V14" s="1300"/>
      <c r="W14" s="1300"/>
      <c r="X14" s="1300"/>
      <c r="Y14" s="1300"/>
      <c r="Z14" s="1301"/>
      <c r="AA14" s="1222">
        <f>SUM(O13:Z13)+AA13</f>
        <v>0</v>
      </c>
      <c r="AB14" s="1223"/>
    </row>
    <row r="15" spans="1:28" ht="13.35" customHeight="1">
      <c r="A15" s="50" t="s">
        <v>5</v>
      </c>
      <c r="B15" s="141"/>
      <c r="C15" s="260"/>
      <c r="D15" s="93"/>
      <c r="E15" s="226"/>
      <c r="F15" s="89"/>
      <c r="G15" s="81"/>
      <c r="H15" s="82"/>
      <c r="I15" s="83" t="str">
        <f t="shared" si="2"/>
        <v/>
      </c>
      <c r="J15" s="361" t="str">
        <f t="shared" si="3"/>
        <v/>
      </c>
      <c r="K15" s="200">
        <v>12</v>
      </c>
      <c r="L15" s="133">
        <f t="shared" si="4"/>
        <v>0</v>
      </c>
      <c r="M15" s="135" t="s">
        <v>5</v>
      </c>
      <c r="O15" s="244"/>
      <c r="P15" s="244"/>
      <c r="Q15" s="244"/>
      <c r="R15" s="244"/>
      <c r="S15" s="244"/>
      <c r="T15" s="244"/>
      <c r="U15" s="244"/>
      <c r="V15" s="244"/>
      <c r="W15" s="244"/>
      <c r="X15" s="244"/>
      <c r="Y15" s="244"/>
      <c r="Z15" s="244"/>
      <c r="AA15" s="244"/>
      <c r="AB15" s="244"/>
    </row>
    <row r="16" spans="1:28" ht="13.35" customHeight="1">
      <c r="A16" s="50" t="s">
        <v>5</v>
      </c>
      <c r="B16" s="141"/>
      <c r="C16" s="80"/>
      <c r="D16" s="93"/>
      <c r="E16" s="226"/>
      <c r="F16" s="89"/>
      <c r="G16" s="81"/>
      <c r="H16" s="82"/>
      <c r="I16" s="83" t="str">
        <f t="shared" si="2"/>
        <v/>
      </c>
      <c r="J16" s="361" t="str">
        <f t="shared" si="3"/>
        <v/>
      </c>
      <c r="K16" s="200">
        <v>13</v>
      </c>
      <c r="L16" s="133">
        <f t="shared" si="4"/>
        <v>0</v>
      </c>
      <c r="M16" s="135" t="s">
        <v>5</v>
      </c>
      <c r="O16" s="244"/>
      <c r="P16" s="244"/>
      <c r="Q16" s="244"/>
      <c r="R16" s="244"/>
      <c r="S16" s="244"/>
      <c r="T16" s="244"/>
      <c r="U16" s="244"/>
      <c r="V16" s="244"/>
      <c r="W16" s="244"/>
      <c r="X16" s="244"/>
      <c r="Y16" s="244"/>
      <c r="Z16" s="244"/>
      <c r="AA16" s="244"/>
      <c r="AB16" s="244"/>
    </row>
    <row r="17" spans="1:28" ht="13.35" customHeight="1">
      <c r="A17" s="50" t="s">
        <v>5</v>
      </c>
      <c r="B17" s="141"/>
      <c r="C17" s="80"/>
      <c r="D17" s="93"/>
      <c r="E17" s="226"/>
      <c r="F17" s="89"/>
      <c r="G17" s="81"/>
      <c r="H17" s="82"/>
      <c r="I17" s="83" t="str">
        <f t="shared" si="2"/>
        <v/>
      </c>
      <c r="J17" s="361" t="str">
        <f t="shared" si="3"/>
        <v/>
      </c>
      <c r="K17" s="200">
        <v>14</v>
      </c>
      <c r="L17" s="133">
        <f t="shared" si="4"/>
        <v>0</v>
      </c>
      <c r="M17" s="135" t="s">
        <v>5</v>
      </c>
      <c r="O17" s="244"/>
      <c r="P17" s="244"/>
      <c r="Q17" s="244"/>
      <c r="R17" s="244"/>
      <c r="S17" s="244"/>
      <c r="T17" s="244"/>
      <c r="U17" s="244"/>
      <c r="V17" s="244"/>
      <c r="W17" s="244"/>
      <c r="X17" s="244"/>
      <c r="Y17" s="244"/>
      <c r="Z17" s="244"/>
      <c r="AA17" s="244"/>
      <c r="AB17" s="244"/>
    </row>
    <row r="18" spans="1:28" ht="13.35" customHeight="1">
      <c r="A18" s="50" t="s">
        <v>5</v>
      </c>
      <c r="B18" s="141"/>
      <c r="C18" s="80"/>
      <c r="D18" s="93"/>
      <c r="E18" s="226"/>
      <c r="F18" s="89"/>
      <c r="G18" s="81"/>
      <c r="H18" s="82"/>
      <c r="I18" s="83" t="str">
        <f t="shared" si="2"/>
        <v/>
      </c>
      <c r="J18" s="361" t="str">
        <f t="shared" si="3"/>
        <v/>
      </c>
      <c r="K18" s="200">
        <v>15</v>
      </c>
      <c r="L18" s="133">
        <f t="shared" si="4"/>
        <v>0</v>
      </c>
      <c r="M18" s="135" t="s">
        <v>5</v>
      </c>
      <c r="O18" s="244"/>
      <c r="P18" s="244"/>
      <c r="Q18" s="244"/>
      <c r="R18" s="244"/>
      <c r="S18" s="244"/>
      <c r="T18" s="244"/>
      <c r="U18" s="244"/>
      <c r="V18" s="244"/>
      <c r="W18" s="244"/>
      <c r="X18" s="244"/>
      <c r="Y18" s="244"/>
      <c r="Z18" s="244"/>
      <c r="AA18" s="244"/>
      <c r="AB18" s="244"/>
    </row>
    <row r="19" spans="1:28" ht="13.35" customHeight="1">
      <c r="A19" s="50" t="s">
        <v>5</v>
      </c>
      <c r="B19" s="141"/>
      <c r="C19" s="80"/>
      <c r="D19" s="93"/>
      <c r="E19" s="226"/>
      <c r="F19" s="89"/>
      <c r="G19" s="81"/>
      <c r="H19" s="82"/>
      <c r="I19" s="83" t="str">
        <f t="shared" si="2"/>
        <v/>
      </c>
      <c r="J19" s="361" t="str">
        <f t="shared" si="3"/>
        <v/>
      </c>
      <c r="K19" s="200">
        <v>16</v>
      </c>
      <c r="L19" s="133">
        <f t="shared" si="4"/>
        <v>0</v>
      </c>
      <c r="M19" s="135" t="s">
        <v>5</v>
      </c>
      <c r="O19" s="244"/>
      <c r="P19" s="244"/>
      <c r="Q19" s="244"/>
      <c r="R19" s="244"/>
      <c r="S19" s="244"/>
      <c r="T19" s="244"/>
      <c r="U19" s="244"/>
      <c r="V19" s="244"/>
      <c r="W19" s="244"/>
      <c r="X19" s="244"/>
      <c r="Y19" s="244"/>
      <c r="Z19" s="244"/>
      <c r="AA19" s="244"/>
      <c r="AB19" s="244"/>
    </row>
    <row r="20" spans="1:28" ht="13.35" customHeight="1">
      <c r="A20" s="50" t="s">
        <v>5</v>
      </c>
      <c r="B20" s="141"/>
      <c r="C20" s="80"/>
      <c r="D20" s="93"/>
      <c r="E20" s="226"/>
      <c r="F20" s="89"/>
      <c r="G20" s="81"/>
      <c r="H20" s="82"/>
      <c r="I20" s="83" t="str">
        <f t="shared" si="2"/>
        <v/>
      </c>
      <c r="J20" s="361" t="str">
        <f t="shared" si="3"/>
        <v/>
      </c>
      <c r="K20" s="200">
        <v>17</v>
      </c>
      <c r="L20" s="133">
        <f t="shared" si="4"/>
        <v>0</v>
      </c>
      <c r="M20" s="135" t="s">
        <v>5</v>
      </c>
      <c r="O20" s="244"/>
      <c r="P20" s="244"/>
      <c r="Q20" s="244"/>
      <c r="R20" s="244"/>
      <c r="S20" s="244"/>
      <c r="T20" s="244"/>
      <c r="U20" s="244"/>
      <c r="V20" s="244"/>
      <c r="W20" s="244"/>
      <c r="X20" s="244"/>
      <c r="Y20" s="244"/>
      <c r="Z20" s="244"/>
      <c r="AA20" s="244"/>
      <c r="AB20" s="244"/>
    </row>
    <row r="21" spans="1:28" ht="13.35" customHeight="1">
      <c r="A21" s="50" t="s">
        <v>5</v>
      </c>
      <c r="B21" s="141"/>
      <c r="C21" s="80"/>
      <c r="D21" s="93"/>
      <c r="E21" s="226"/>
      <c r="F21" s="89"/>
      <c r="G21" s="81"/>
      <c r="H21" s="82"/>
      <c r="I21" s="83" t="str">
        <f t="shared" si="2"/>
        <v/>
      </c>
      <c r="J21" s="361" t="str">
        <f t="shared" si="3"/>
        <v/>
      </c>
      <c r="K21" s="200">
        <v>18</v>
      </c>
      <c r="L21" s="133">
        <f t="shared" si="4"/>
        <v>0</v>
      </c>
      <c r="M21" s="135" t="s">
        <v>5</v>
      </c>
      <c r="O21" s="244"/>
      <c r="P21" s="244"/>
      <c r="Q21" s="244"/>
      <c r="R21" s="244"/>
      <c r="S21" s="244"/>
      <c r="T21" s="244"/>
      <c r="U21" s="244"/>
      <c r="V21" s="244"/>
      <c r="W21" s="244"/>
      <c r="X21" s="244"/>
      <c r="Y21" s="244"/>
      <c r="Z21" s="244"/>
      <c r="AA21" s="244"/>
      <c r="AB21" s="244"/>
    </row>
    <row r="22" spans="1:28" ht="13.35" customHeight="1">
      <c r="A22" s="50" t="s">
        <v>5</v>
      </c>
      <c r="B22" s="141"/>
      <c r="C22" s="80"/>
      <c r="D22" s="93"/>
      <c r="E22" s="226"/>
      <c r="F22" s="89"/>
      <c r="G22" s="81"/>
      <c r="H22" s="82"/>
      <c r="I22" s="83" t="str">
        <f t="shared" si="2"/>
        <v/>
      </c>
      <c r="J22" s="361" t="str">
        <f t="shared" si="3"/>
        <v/>
      </c>
      <c r="K22" s="200">
        <v>19</v>
      </c>
      <c r="L22" s="133">
        <f t="shared" si="4"/>
        <v>0</v>
      </c>
      <c r="M22" s="135" t="s">
        <v>5</v>
      </c>
      <c r="O22" s="244"/>
      <c r="P22" s="244"/>
      <c r="Q22" s="244"/>
      <c r="R22" s="244"/>
      <c r="S22" s="244"/>
      <c r="T22" s="244"/>
      <c r="U22" s="244"/>
      <c r="V22" s="244"/>
      <c r="W22" s="244"/>
      <c r="X22" s="244"/>
      <c r="Y22" s="244"/>
      <c r="Z22" s="244"/>
      <c r="AA22" s="244"/>
      <c r="AB22" s="244"/>
    </row>
    <row r="23" spans="1:28" ht="13.35" customHeight="1">
      <c r="A23" s="50" t="s">
        <v>5</v>
      </c>
      <c r="B23" s="141"/>
      <c r="C23" s="80"/>
      <c r="D23" s="94"/>
      <c r="E23" s="226"/>
      <c r="F23" s="89"/>
      <c r="G23" s="81"/>
      <c r="H23" s="82"/>
      <c r="I23" s="83" t="str">
        <f t="shared" si="2"/>
        <v/>
      </c>
      <c r="J23" s="361" t="str">
        <f t="shared" si="3"/>
        <v/>
      </c>
      <c r="K23" s="200">
        <v>20</v>
      </c>
      <c r="L23" s="133">
        <f t="shared" si="4"/>
        <v>0</v>
      </c>
      <c r="M23" s="135" t="s">
        <v>5</v>
      </c>
      <c r="O23" s="244"/>
      <c r="P23" s="244"/>
      <c r="Q23" s="244"/>
      <c r="R23" s="244"/>
      <c r="S23" s="244"/>
      <c r="T23" s="244"/>
      <c r="U23" s="244"/>
      <c r="V23" s="244"/>
      <c r="W23" s="244"/>
      <c r="X23" s="244"/>
      <c r="Y23" s="244"/>
      <c r="Z23" s="244"/>
      <c r="AA23" s="244"/>
      <c r="AB23" s="244"/>
    </row>
    <row r="24" spans="1:28" ht="13.35" customHeight="1">
      <c r="A24" s="50" t="s">
        <v>5</v>
      </c>
      <c r="B24" s="141"/>
      <c r="C24" s="80"/>
      <c r="D24" s="93"/>
      <c r="E24" s="226"/>
      <c r="F24" s="89"/>
      <c r="G24" s="81"/>
      <c r="H24" s="82"/>
      <c r="I24" s="83" t="str">
        <f t="shared" si="2"/>
        <v/>
      </c>
      <c r="J24" s="361" t="str">
        <f t="shared" si="3"/>
        <v/>
      </c>
      <c r="K24" s="200">
        <v>21</v>
      </c>
      <c r="L24" s="133">
        <f t="shared" si="4"/>
        <v>0</v>
      </c>
      <c r="M24" s="135" t="s">
        <v>5</v>
      </c>
      <c r="O24" s="244"/>
      <c r="P24" s="244"/>
      <c r="Q24" s="244"/>
      <c r="R24" s="244"/>
      <c r="S24" s="244"/>
      <c r="T24" s="244"/>
      <c r="U24" s="244"/>
      <c r="V24" s="244"/>
      <c r="W24" s="244"/>
      <c r="X24" s="244"/>
      <c r="Y24" s="244"/>
      <c r="Z24" s="244"/>
      <c r="AA24" s="244"/>
      <c r="AB24" s="244"/>
    </row>
    <row r="25" spans="1:28" ht="13.35" customHeight="1">
      <c r="A25" s="50" t="s">
        <v>5</v>
      </c>
      <c r="B25" s="141"/>
      <c r="C25" s="80"/>
      <c r="D25" s="93"/>
      <c r="E25" s="226"/>
      <c r="F25" s="89"/>
      <c r="G25" s="81"/>
      <c r="H25" s="82"/>
      <c r="I25" s="83" t="str">
        <f t="shared" si="2"/>
        <v/>
      </c>
      <c r="J25" s="361" t="str">
        <f t="shared" si="3"/>
        <v/>
      </c>
      <c r="K25" s="200">
        <v>22</v>
      </c>
      <c r="L25" s="133">
        <f t="shared" si="4"/>
        <v>0</v>
      </c>
      <c r="M25" s="135" t="s">
        <v>5</v>
      </c>
      <c r="O25" s="244"/>
      <c r="P25" s="244"/>
      <c r="Q25" s="244"/>
      <c r="R25" s="244"/>
      <c r="S25" s="244"/>
      <c r="T25" s="244"/>
      <c r="U25" s="244"/>
      <c r="V25" s="244"/>
      <c r="W25" s="244"/>
      <c r="X25" s="244"/>
      <c r="Y25" s="244"/>
      <c r="Z25" s="244"/>
      <c r="AA25" s="244"/>
      <c r="AB25" s="244"/>
    </row>
    <row r="26" spans="1:28" ht="13.35" customHeight="1">
      <c r="A26" s="50" t="s">
        <v>5</v>
      </c>
      <c r="B26" s="141"/>
      <c r="C26" s="80"/>
      <c r="D26" s="93"/>
      <c r="E26" s="226"/>
      <c r="F26" s="89"/>
      <c r="G26" s="81"/>
      <c r="H26" s="82"/>
      <c r="I26" s="83" t="str">
        <f t="shared" si="2"/>
        <v/>
      </c>
      <c r="J26" s="361" t="str">
        <f t="shared" si="3"/>
        <v/>
      </c>
      <c r="K26" s="200">
        <v>23</v>
      </c>
      <c r="L26" s="133">
        <f t="shared" si="4"/>
        <v>0</v>
      </c>
      <c r="M26" s="135" t="s">
        <v>5</v>
      </c>
      <c r="O26" s="244"/>
      <c r="P26" s="244"/>
      <c r="Q26" s="244"/>
      <c r="R26" s="244"/>
      <c r="S26" s="244"/>
      <c r="T26" s="244"/>
      <c r="U26" s="244"/>
      <c r="V26" s="244"/>
      <c r="W26" s="244"/>
      <c r="X26" s="244"/>
      <c r="Y26" s="244"/>
      <c r="Z26" s="244"/>
      <c r="AA26" s="244"/>
      <c r="AB26" s="244"/>
    </row>
    <row r="27" spans="1:28" ht="13.35" customHeight="1">
      <c r="A27" s="50" t="s">
        <v>5</v>
      </c>
      <c r="B27" s="141"/>
      <c r="C27" s="80"/>
      <c r="D27" s="93"/>
      <c r="E27" s="226"/>
      <c r="F27" s="89"/>
      <c r="G27" s="81"/>
      <c r="H27" s="82"/>
      <c r="I27" s="83" t="str">
        <f t="shared" si="2"/>
        <v/>
      </c>
      <c r="J27" s="361" t="str">
        <f t="shared" si="3"/>
        <v/>
      </c>
      <c r="K27" s="200">
        <v>24</v>
      </c>
      <c r="L27" s="133">
        <f t="shared" si="4"/>
        <v>0</v>
      </c>
      <c r="M27" s="135" t="s">
        <v>5</v>
      </c>
      <c r="O27" s="244"/>
      <c r="P27" s="244"/>
      <c r="Q27" s="244"/>
      <c r="R27" s="244"/>
      <c r="S27" s="244"/>
      <c r="T27" s="244"/>
      <c r="U27" s="244"/>
      <c r="V27" s="244"/>
      <c r="W27" s="244"/>
      <c r="X27" s="244"/>
      <c r="Y27" s="244"/>
      <c r="Z27" s="244"/>
      <c r="AA27" s="244"/>
      <c r="AB27" s="244"/>
    </row>
    <row r="28" spans="1:28" ht="13.35" customHeight="1">
      <c r="A28" s="50" t="s">
        <v>5</v>
      </c>
      <c r="B28" s="141"/>
      <c r="C28" s="80"/>
      <c r="D28" s="93"/>
      <c r="E28" s="226"/>
      <c r="F28" s="89"/>
      <c r="G28" s="81"/>
      <c r="H28" s="82"/>
      <c r="I28" s="83" t="str">
        <f t="shared" si="2"/>
        <v/>
      </c>
      <c r="J28" s="361" t="str">
        <f t="shared" si="3"/>
        <v/>
      </c>
      <c r="K28" s="200">
        <v>25</v>
      </c>
      <c r="L28" s="133">
        <f t="shared" si="4"/>
        <v>0</v>
      </c>
      <c r="M28" s="135" t="s">
        <v>5</v>
      </c>
      <c r="O28" s="244"/>
      <c r="P28" s="244"/>
      <c r="Q28" s="244"/>
      <c r="R28" s="244"/>
      <c r="S28" s="244"/>
      <c r="T28" s="244"/>
      <c r="U28" s="244"/>
      <c r="V28" s="244"/>
      <c r="W28" s="244"/>
      <c r="X28" s="244"/>
      <c r="Y28" s="244"/>
      <c r="Z28" s="244"/>
      <c r="AA28" s="244"/>
      <c r="AB28" s="244"/>
    </row>
    <row r="29" spans="1:28" ht="13.35" customHeight="1">
      <c r="A29" s="50" t="s">
        <v>5</v>
      </c>
      <c r="B29" s="141"/>
      <c r="C29" s="80"/>
      <c r="D29" s="93"/>
      <c r="E29" s="226"/>
      <c r="F29" s="89"/>
      <c r="G29" s="81"/>
      <c r="H29" s="82"/>
      <c r="I29" s="83" t="str">
        <f t="shared" si="2"/>
        <v/>
      </c>
      <c r="J29" s="361" t="str">
        <f t="shared" si="3"/>
        <v/>
      </c>
      <c r="K29" s="200">
        <v>26</v>
      </c>
      <c r="L29" s="133">
        <f t="shared" si="4"/>
        <v>0</v>
      </c>
      <c r="M29" s="135" t="s">
        <v>5</v>
      </c>
      <c r="O29" s="244"/>
      <c r="P29" s="244"/>
      <c r="Q29" s="244"/>
      <c r="R29" s="244"/>
      <c r="S29" s="244"/>
      <c r="T29" s="244"/>
      <c r="U29" s="244"/>
      <c r="V29" s="244"/>
      <c r="W29" s="244"/>
      <c r="X29" s="244"/>
      <c r="Y29" s="244"/>
      <c r="Z29" s="244"/>
      <c r="AA29" s="244"/>
      <c r="AB29" s="244"/>
    </row>
    <row r="30" spans="1:28" ht="13.35" customHeight="1">
      <c r="A30" s="50" t="s">
        <v>5</v>
      </c>
      <c r="B30" s="141"/>
      <c r="C30" s="80"/>
      <c r="D30" s="93"/>
      <c r="E30" s="226"/>
      <c r="F30" s="89"/>
      <c r="G30" s="81"/>
      <c r="H30" s="82"/>
      <c r="I30" s="83" t="str">
        <f t="shared" si="2"/>
        <v/>
      </c>
      <c r="J30" s="361" t="str">
        <f t="shared" si="3"/>
        <v/>
      </c>
      <c r="K30" s="200">
        <v>27</v>
      </c>
      <c r="L30" s="133">
        <f t="shared" si="4"/>
        <v>0</v>
      </c>
      <c r="M30" s="135" t="s">
        <v>5</v>
      </c>
      <c r="O30" s="244"/>
      <c r="P30" s="244"/>
      <c r="Q30" s="244"/>
      <c r="R30" s="244"/>
      <c r="S30" s="244"/>
      <c r="T30" s="244"/>
      <c r="U30" s="244"/>
      <c r="V30" s="244"/>
      <c r="W30" s="244"/>
      <c r="X30" s="244"/>
      <c r="Y30" s="244"/>
      <c r="Z30" s="244"/>
      <c r="AA30" s="244"/>
      <c r="AB30" s="244"/>
    </row>
    <row r="31" spans="1:28" ht="13.35" customHeight="1">
      <c r="A31" s="50" t="s">
        <v>5</v>
      </c>
      <c r="B31" s="141"/>
      <c r="C31" s="80"/>
      <c r="D31" s="93"/>
      <c r="E31" s="226"/>
      <c r="F31" s="89"/>
      <c r="G31" s="81"/>
      <c r="H31" s="82"/>
      <c r="I31" s="83" t="str">
        <f t="shared" si="2"/>
        <v/>
      </c>
      <c r="J31" s="361" t="str">
        <f t="shared" si="3"/>
        <v/>
      </c>
      <c r="K31" s="200">
        <v>28</v>
      </c>
      <c r="L31" s="133">
        <f t="shared" si="4"/>
        <v>0</v>
      </c>
      <c r="M31" s="135" t="s">
        <v>5</v>
      </c>
      <c r="O31" s="244"/>
      <c r="P31" s="244"/>
      <c r="Q31" s="244"/>
      <c r="R31" s="244"/>
      <c r="S31" s="244"/>
      <c r="T31" s="244"/>
      <c r="U31" s="244"/>
      <c r="V31" s="244"/>
      <c r="W31" s="244"/>
      <c r="X31" s="244"/>
      <c r="Y31" s="244"/>
      <c r="Z31" s="244"/>
      <c r="AA31" s="244"/>
      <c r="AB31" s="244"/>
    </row>
    <row r="32" spans="1:28" ht="13.35" customHeight="1">
      <c r="A32" s="50" t="s">
        <v>5</v>
      </c>
      <c r="B32" s="141"/>
      <c r="C32" s="80"/>
      <c r="D32" s="93"/>
      <c r="E32" s="226"/>
      <c r="F32" s="89"/>
      <c r="G32" s="81"/>
      <c r="H32" s="82"/>
      <c r="I32" s="83" t="str">
        <f t="shared" si="2"/>
        <v/>
      </c>
      <c r="J32" s="361" t="str">
        <f t="shared" si="3"/>
        <v/>
      </c>
      <c r="K32" s="200">
        <v>29</v>
      </c>
      <c r="L32" s="133">
        <f t="shared" si="4"/>
        <v>0</v>
      </c>
      <c r="M32" s="135" t="s">
        <v>5</v>
      </c>
      <c r="O32" s="244"/>
      <c r="P32" s="244"/>
      <c r="Q32" s="244"/>
      <c r="R32" s="244"/>
      <c r="S32" s="244"/>
      <c r="T32" s="244"/>
      <c r="U32" s="244"/>
      <c r="V32" s="244"/>
      <c r="W32" s="244"/>
      <c r="X32" s="244"/>
      <c r="Y32" s="244"/>
      <c r="Z32" s="244"/>
      <c r="AA32" s="244"/>
      <c r="AB32" s="244"/>
    </row>
    <row r="33" spans="1:28" ht="13.35" customHeight="1">
      <c r="A33" s="50" t="s">
        <v>5</v>
      </c>
      <c r="B33" s="141"/>
      <c r="C33" s="80"/>
      <c r="D33" s="93"/>
      <c r="E33" s="226"/>
      <c r="F33" s="89"/>
      <c r="G33" s="81"/>
      <c r="H33" s="82"/>
      <c r="I33" s="83" t="str">
        <f t="shared" si="2"/>
        <v/>
      </c>
      <c r="J33" s="361" t="str">
        <f t="shared" si="3"/>
        <v/>
      </c>
      <c r="K33" s="200">
        <v>30</v>
      </c>
      <c r="L33" s="133">
        <f t="shared" si="4"/>
        <v>0</v>
      </c>
      <c r="M33" s="135" t="s">
        <v>5</v>
      </c>
      <c r="O33" s="244"/>
      <c r="P33" s="244"/>
      <c r="Q33" s="244"/>
      <c r="R33" s="244"/>
      <c r="S33" s="244"/>
      <c r="T33" s="244"/>
      <c r="U33" s="244"/>
      <c r="V33" s="244"/>
      <c r="W33" s="244"/>
      <c r="X33" s="244"/>
      <c r="Y33" s="244"/>
      <c r="Z33" s="244"/>
      <c r="AA33" s="244"/>
      <c r="AB33" s="244"/>
    </row>
    <row r="34" spans="1:28" ht="13.35" customHeight="1">
      <c r="A34" s="50" t="s">
        <v>5</v>
      </c>
      <c r="B34" s="141"/>
      <c r="C34" s="80"/>
      <c r="D34" s="93"/>
      <c r="E34" s="226"/>
      <c r="F34" s="89"/>
      <c r="G34" s="81"/>
      <c r="H34" s="82"/>
      <c r="I34" s="83" t="str">
        <f t="shared" si="2"/>
        <v/>
      </c>
      <c r="J34" s="361" t="str">
        <f t="shared" si="3"/>
        <v/>
      </c>
      <c r="K34" s="200">
        <v>31</v>
      </c>
      <c r="L34" s="133">
        <f t="shared" si="4"/>
        <v>0</v>
      </c>
      <c r="M34" s="135" t="s">
        <v>5</v>
      </c>
      <c r="O34" s="244"/>
      <c r="P34" s="244"/>
      <c r="Q34" s="244"/>
      <c r="R34" s="244"/>
      <c r="S34" s="244"/>
      <c r="T34" s="244"/>
      <c r="U34" s="244"/>
      <c r="V34" s="244"/>
      <c r="W34" s="244"/>
      <c r="X34" s="244"/>
      <c r="Y34" s="244"/>
      <c r="Z34" s="244"/>
      <c r="AA34" s="244"/>
      <c r="AB34" s="244"/>
    </row>
    <row r="35" spans="1:28" ht="13.35" customHeight="1">
      <c r="A35" s="50" t="s">
        <v>5</v>
      </c>
      <c r="B35" s="141"/>
      <c r="C35" s="80"/>
      <c r="D35" s="93"/>
      <c r="E35" s="226"/>
      <c r="F35" s="89"/>
      <c r="G35" s="81"/>
      <c r="H35" s="82"/>
      <c r="I35" s="83" t="str">
        <f t="shared" si="2"/>
        <v/>
      </c>
      <c r="J35" s="361" t="str">
        <f t="shared" si="3"/>
        <v/>
      </c>
      <c r="K35" s="200">
        <v>32</v>
      </c>
      <c r="L35" s="133">
        <f t="shared" si="4"/>
        <v>0</v>
      </c>
      <c r="M35" s="135" t="s">
        <v>5</v>
      </c>
      <c r="O35" s="244"/>
      <c r="P35" s="244"/>
      <c r="Q35" s="244"/>
      <c r="R35" s="244"/>
      <c r="S35" s="244"/>
      <c r="T35" s="244"/>
      <c r="U35" s="244"/>
      <c r="V35" s="244"/>
      <c r="W35" s="244"/>
      <c r="X35" s="244"/>
      <c r="Y35" s="244"/>
      <c r="Z35" s="244"/>
      <c r="AA35" s="244"/>
      <c r="AB35" s="244"/>
    </row>
    <row r="36" spans="1:28" ht="13.35" customHeight="1">
      <c r="A36" s="50" t="s">
        <v>5</v>
      </c>
      <c r="B36" s="141"/>
      <c r="C36" s="80"/>
      <c r="D36" s="93"/>
      <c r="E36" s="226"/>
      <c r="F36" s="89"/>
      <c r="G36" s="81"/>
      <c r="H36" s="82"/>
      <c r="I36" s="83" t="str">
        <f t="shared" si="2"/>
        <v/>
      </c>
      <c r="J36" s="361" t="str">
        <f t="shared" si="3"/>
        <v/>
      </c>
      <c r="K36" s="200">
        <v>33</v>
      </c>
      <c r="L36" s="133">
        <f t="shared" si="4"/>
        <v>0</v>
      </c>
      <c r="M36" s="135" t="s">
        <v>5</v>
      </c>
      <c r="O36" s="244"/>
      <c r="P36" s="244"/>
      <c r="Q36" s="244"/>
      <c r="R36" s="244"/>
      <c r="S36" s="244"/>
      <c r="T36" s="244"/>
      <c r="U36" s="244"/>
      <c r="V36" s="244"/>
      <c r="W36" s="244"/>
      <c r="X36" s="244"/>
      <c r="Y36" s="244"/>
      <c r="Z36" s="244"/>
      <c r="AA36" s="244"/>
      <c r="AB36" s="244"/>
    </row>
    <row r="37" spans="1:28" ht="13.35" customHeight="1">
      <c r="A37" s="50" t="s">
        <v>5</v>
      </c>
      <c r="B37" s="141"/>
      <c r="C37" s="80"/>
      <c r="D37" s="93"/>
      <c r="E37" s="226"/>
      <c r="F37" s="89"/>
      <c r="G37" s="81"/>
      <c r="H37" s="82"/>
      <c r="I37" s="83" t="str">
        <f t="shared" si="2"/>
        <v/>
      </c>
      <c r="J37" s="361" t="str">
        <f t="shared" si="3"/>
        <v/>
      </c>
      <c r="K37" s="200">
        <v>34</v>
      </c>
      <c r="L37" s="133">
        <f t="shared" si="4"/>
        <v>0</v>
      </c>
      <c r="M37" s="135" t="s">
        <v>5</v>
      </c>
      <c r="O37" s="244"/>
      <c r="P37" s="244"/>
      <c r="Q37" s="244"/>
      <c r="R37" s="244"/>
      <c r="S37" s="244"/>
      <c r="T37" s="244"/>
      <c r="U37" s="244"/>
      <c r="V37" s="244"/>
      <c r="W37" s="244"/>
      <c r="X37" s="244"/>
      <c r="Y37" s="244"/>
      <c r="Z37" s="244"/>
      <c r="AA37" s="244"/>
      <c r="AB37" s="244"/>
    </row>
    <row r="38" spans="1:28" ht="13.35" customHeight="1">
      <c r="A38" s="50" t="s">
        <v>5</v>
      </c>
      <c r="B38" s="141"/>
      <c r="C38" s="80"/>
      <c r="D38" s="93"/>
      <c r="E38" s="226"/>
      <c r="F38" s="89"/>
      <c r="G38" s="81"/>
      <c r="H38" s="82"/>
      <c r="I38" s="83" t="str">
        <f t="shared" si="2"/>
        <v/>
      </c>
      <c r="J38" s="361" t="str">
        <f t="shared" si="3"/>
        <v/>
      </c>
      <c r="K38" s="200">
        <v>35</v>
      </c>
      <c r="L38" s="133">
        <f t="shared" si="4"/>
        <v>0</v>
      </c>
      <c r="M38" s="135" t="s">
        <v>5</v>
      </c>
      <c r="O38" s="244"/>
      <c r="P38" s="244"/>
      <c r="Q38" s="244"/>
      <c r="R38" s="244"/>
      <c r="S38" s="244"/>
      <c r="T38" s="244"/>
      <c r="U38" s="244"/>
      <c r="V38" s="244"/>
      <c r="W38" s="244"/>
      <c r="X38" s="244"/>
      <c r="Y38" s="244"/>
      <c r="Z38" s="244"/>
      <c r="AA38" s="244"/>
      <c r="AB38" s="244"/>
    </row>
    <row r="39" spans="1:28" ht="13.35" customHeight="1">
      <c r="A39" s="50" t="s">
        <v>5</v>
      </c>
      <c r="B39" s="141"/>
      <c r="C39" s="80"/>
      <c r="D39" s="93"/>
      <c r="E39" s="226"/>
      <c r="F39" s="89"/>
      <c r="G39" s="81"/>
      <c r="H39" s="82"/>
      <c r="I39" s="83" t="str">
        <f t="shared" si="2"/>
        <v/>
      </c>
      <c r="J39" s="361" t="str">
        <f t="shared" si="3"/>
        <v/>
      </c>
      <c r="K39" s="200">
        <v>36</v>
      </c>
      <c r="L39" s="133">
        <f t="shared" si="4"/>
        <v>0</v>
      </c>
      <c r="M39" s="135" t="s">
        <v>5</v>
      </c>
      <c r="O39" s="244"/>
      <c r="P39" s="244"/>
      <c r="Q39" s="244"/>
      <c r="R39" s="244"/>
      <c r="S39" s="244"/>
      <c r="T39" s="244"/>
      <c r="U39" s="244"/>
      <c r="V39" s="244"/>
      <c r="W39" s="244"/>
      <c r="X39" s="244"/>
      <c r="Y39" s="244"/>
      <c r="Z39" s="244"/>
      <c r="AA39" s="244"/>
      <c r="AB39" s="244"/>
    </row>
    <row r="40" spans="1:28" ht="13.35" customHeight="1">
      <c r="A40" s="50" t="s">
        <v>5</v>
      </c>
      <c r="B40" s="141"/>
      <c r="C40" s="80"/>
      <c r="D40" s="93"/>
      <c r="E40" s="226"/>
      <c r="F40" s="89"/>
      <c r="G40" s="81"/>
      <c r="H40" s="82"/>
      <c r="I40" s="83" t="str">
        <f t="shared" si="2"/>
        <v/>
      </c>
      <c r="J40" s="361" t="str">
        <f t="shared" si="3"/>
        <v/>
      </c>
      <c r="K40" s="200">
        <v>37</v>
      </c>
      <c r="L40" s="133">
        <f t="shared" si="4"/>
        <v>0</v>
      </c>
      <c r="M40" s="135" t="s">
        <v>5</v>
      </c>
      <c r="O40" s="244"/>
      <c r="P40" s="244"/>
      <c r="Q40" s="244"/>
      <c r="R40" s="244"/>
      <c r="S40" s="244"/>
      <c r="T40" s="244"/>
      <c r="U40" s="244"/>
      <c r="V40" s="244"/>
      <c r="W40" s="244"/>
      <c r="X40" s="244"/>
      <c r="Y40" s="244"/>
      <c r="Z40" s="244"/>
      <c r="AA40" s="244"/>
      <c r="AB40" s="244"/>
    </row>
    <row r="41" spans="1:28" ht="13.35" customHeight="1">
      <c r="A41" s="50" t="s">
        <v>5</v>
      </c>
      <c r="B41" s="141"/>
      <c r="C41" s="80"/>
      <c r="D41" s="93"/>
      <c r="E41" s="226"/>
      <c r="F41" s="89"/>
      <c r="G41" s="81"/>
      <c r="H41" s="82"/>
      <c r="I41" s="83" t="str">
        <f t="shared" si="2"/>
        <v/>
      </c>
      <c r="J41" s="361" t="str">
        <f t="shared" si="3"/>
        <v/>
      </c>
      <c r="K41" s="200">
        <v>38</v>
      </c>
      <c r="L41" s="133">
        <f t="shared" si="4"/>
        <v>0</v>
      </c>
      <c r="M41" s="135" t="s">
        <v>5</v>
      </c>
      <c r="O41" s="244"/>
      <c r="P41" s="244"/>
      <c r="Q41" s="244"/>
      <c r="R41" s="244"/>
      <c r="S41" s="244"/>
      <c r="T41" s="244"/>
      <c r="U41" s="244"/>
      <c r="V41" s="244"/>
      <c r="W41" s="244"/>
      <c r="X41" s="244"/>
      <c r="Y41" s="244"/>
      <c r="Z41" s="244"/>
      <c r="AA41" s="244"/>
      <c r="AB41" s="244"/>
    </row>
    <row r="42" spans="1:28" ht="13.35" customHeight="1">
      <c r="A42" s="50" t="s">
        <v>5</v>
      </c>
      <c r="B42" s="141"/>
      <c r="C42" s="80"/>
      <c r="D42" s="93"/>
      <c r="E42" s="226"/>
      <c r="F42" s="89"/>
      <c r="G42" s="81"/>
      <c r="H42" s="82"/>
      <c r="I42" s="83" t="str">
        <f t="shared" si="2"/>
        <v/>
      </c>
      <c r="J42" s="361" t="str">
        <f t="shared" si="3"/>
        <v/>
      </c>
      <c r="K42" s="200">
        <v>39</v>
      </c>
      <c r="L42" s="133">
        <f t="shared" si="4"/>
        <v>0</v>
      </c>
      <c r="M42" s="135" t="s">
        <v>5</v>
      </c>
      <c r="O42" s="244"/>
      <c r="P42" s="244"/>
      <c r="Q42" s="244"/>
      <c r="R42" s="244"/>
      <c r="S42" s="244"/>
      <c r="T42" s="244"/>
      <c r="U42" s="244"/>
      <c r="V42" s="244"/>
      <c r="W42" s="244"/>
      <c r="X42" s="244"/>
      <c r="Y42" s="244"/>
      <c r="Z42" s="244"/>
      <c r="AA42" s="244"/>
      <c r="AB42" s="244"/>
    </row>
    <row r="43" spans="1:28" ht="13.35" customHeight="1">
      <c r="A43" s="50" t="s">
        <v>5</v>
      </c>
      <c r="B43" s="141"/>
      <c r="C43" s="80"/>
      <c r="D43" s="93"/>
      <c r="E43" s="226"/>
      <c r="F43" s="89"/>
      <c r="G43" s="81"/>
      <c r="H43" s="82"/>
      <c r="I43" s="83" t="str">
        <f t="shared" si="2"/>
        <v/>
      </c>
      <c r="J43" s="361" t="str">
        <f t="shared" si="3"/>
        <v/>
      </c>
      <c r="K43" s="200">
        <v>40</v>
      </c>
      <c r="L43" s="133">
        <f t="shared" si="4"/>
        <v>0</v>
      </c>
      <c r="M43" s="135" t="s">
        <v>5</v>
      </c>
      <c r="O43" s="244"/>
      <c r="P43" s="244"/>
      <c r="Q43" s="244"/>
      <c r="R43" s="244"/>
      <c r="S43" s="244"/>
      <c r="T43" s="244"/>
      <c r="U43" s="244"/>
      <c r="V43" s="244"/>
      <c r="W43" s="244"/>
      <c r="X43" s="244"/>
      <c r="Y43" s="244"/>
      <c r="Z43" s="244"/>
      <c r="AA43" s="244"/>
      <c r="AB43" s="244"/>
    </row>
    <row r="44" spans="1:28" ht="13.35" customHeight="1">
      <c r="A44" s="50" t="s">
        <v>5</v>
      </c>
      <c r="B44" s="141"/>
      <c r="C44" s="80"/>
      <c r="D44" s="93"/>
      <c r="E44" s="226"/>
      <c r="F44" s="89"/>
      <c r="G44" s="81"/>
      <c r="H44" s="82"/>
      <c r="I44" s="83" t="str">
        <f t="shared" si="2"/>
        <v/>
      </c>
      <c r="J44" s="361" t="str">
        <f t="shared" si="3"/>
        <v/>
      </c>
      <c r="K44" s="200">
        <v>41</v>
      </c>
      <c r="L44" s="133">
        <f t="shared" si="4"/>
        <v>0</v>
      </c>
      <c r="M44" s="135" t="s">
        <v>5</v>
      </c>
      <c r="O44" s="244"/>
      <c r="P44" s="244"/>
      <c r="Q44" s="244"/>
      <c r="R44" s="244"/>
      <c r="S44" s="244"/>
      <c r="T44" s="244"/>
      <c r="U44" s="244"/>
      <c r="V44" s="244"/>
      <c r="W44" s="244"/>
      <c r="X44" s="244"/>
      <c r="Y44" s="244"/>
      <c r="Z44" s="244"/>
      <c r="AA44" s="244"/>
      <c r="AB44" s="244"/>
    </row>
    <row r="45" spans="1:28" ht="13.35" customHeight="1">
      <c r="A45" s="50" t="s">
        <v>5</v>
      </c>
      <c r="B45" s="141"/>
      <c r="C45" s="80"/>
      <c r="D45" s="93"/>
      <c r="E45" s="226"/>
      <c r="F45" s="89"/>
      <c r="G45" s="81"/>
      <c r="H45" s="82"/>
      <c r="I45" s="83" t="str">
        <f t="shared" ref="I45:I46" si="7">IF(G45&lt;&gt;"",+G45-G45/(1+H45/100),"")</f>
        <v/>
      </c>
      <c r="J45" s="361" t="str">
        <f t="shared" ref="J45:J46" si="8">IF(G45&lt;&gt;0,+G45-I45,"")</f>
        <v/>
      </c>
      <c r="K45" s="200">
        <v>44</v>
      </c>
      <c r="L45" s="133">
        <f t="shared" ref="L45:L46" si="9">IF(B45&lt;$O$2,0,IF(B45&lt;$P$2,1,IF(B45&lt;$Q$2,2,IF(B45&lt;$R$2,3,IF(B45&lt;$S$2,4,IF(B45&lt;$T$2,5,IF(B45&lt;$U$2,6,IF(B45&lt;$V$2,7,IF(B45&lt;$W$2,8,IF(B45&lt;$X$2,9,IF(B45&lt;$Y$2,10,IF(B45&lt;$Z$2,11,IF(B45&lt;=$Z$3,12,0)))))))))))))</f>
        <v>0</v>
      </c>
      <c r="M45" s="135" t="s">
        <v>5</v>
      </c>
      <c r="O45" s="244"/>
      <c r="P45" s="244"/>
      <c r="Q45" s="244"/>
      <c r="R45" s="244"/>
      <c r="S45" s="244"/>
      <c r="T45" s="244"/>
      <c r="U45" s="244"/>
      <c r="V45" s="244"/>
      <c r="W45" s="244"/>
      <c r="X45" s="244"/>
      <c r="Y45" s="244"/>
      <c r="Z45" s="244"/>
      <c r="AA45" s="244"/>
      <c r="AB45" s="244"/>
    </row>
    <row r="46" spans="1:28" ht="13.35" customHeight="1" thickBot="1">
      <c r="A46" s="50" t="s">
        <v>5</v>
      </c>
      <c r="B46" s="141"/>
      <c r="C46" s="80"/>
      <c r="D46" s="93"/>
      <c r="E46" s="226"/>
      <c r="F46" s="89"/>
      <c r="G46" s="81"/>
      <c r="H46" s="82"/>
      <c r="I46" s="83" t="str">
        <f t="shared" si="7"/>
        <v/>
      </c>
      <c r="J46" s="361" t="str">
        <f t="shared" si="8"/>
        <v/>
      </c>
      <c r="K46" s="200">
        <v>45</v>
      </c>
      <c r="L46" s="133">
        <f t="shared" si="9"/>
        <v>0</v>
      </c>
      <c r="M46" s="135" t="s">
        <v>5</v>
      </c>
      <c r="O46" s="244"/>
      <c r="P46" s="244"/>
      <c r="Q46" s="244"/>
      <c r="R46" s="244"/>
      <c r="S46" s="244"/>
      <c r="T46" s="244"/>
      <c r="U46" s="244"/>
      <c r="V46" s="244"/>
      <c r="W46" s="244"/>
      <c r="X46" s="244"/>
      <c r="Y46" s="244"/>
      <c r="Z46" s="244"/>
      <c r="AA46" s="244"/>
      <c r="AB46" s="244"/>
    </row>
    <row r="47" spans="1:28" ht="12" customHeight="1" thickTop="1" thickBot="1">
      <c r="A47" s="391" t="s">
        <v>283</v>
      </c>
      <c r="B47" s="1244" t="str">
        <f>IF($A$48=0,"^ Zeile einfügen","bis hierher ziehen!")</f>
        <v>^ Zeile einfügen</v>
      </c>
      <c r="C47" s="1244"/>
      <c r="D47" s="392" t="s">
        <v>5</v>
      </c>
      <c r="E47" s="393" t="s">
        <v>5</v>
      </c>
      <c r="F47" s="394" t="s">
        <v>5</v>
      </c>
      <c r="G47" s="394"/>
      <c r="H47" s="395"/>
      <c r="I47" s="396"/>
      <c r="J47" s="425"/>
      <c r="K47" s="201">
        <v>0</v>
      </c>
      <c r="L47" s="185" t="s">
        <v>5</v>
      </c>
      <c r="M47" s="398" t="s">
        <v>283</v>
      </c>
    </row>
    <row r="48" spans="1:28" ht="12" customHeight="1" thickTop="1" thickBot="1">
      <c r="A48" s="390">
        <f>COUNTBLANK(A3:A47)+A49</f>
        <v>0</v>
      </c>
      <c r="B48" s="193" t="str">
        <f>+EÜR!C38</f>
        <v>ü</v>
      </c>
      <c r="C48" s="194" t="s">
        <v>5</v>
      </c>
      <c r="D48" s="194" t="s">
        <v>5</v>
      </c>
      <c r="E48" s="195" t="s">
        <v>5</v>
      </c>
      <c r="F48" s="196" t="s">
        <v>5</v>
      </c>
      <c r="G48" s="197">
        <f>SUBTOTAL(9,G3:G47)</f>
        <v>0</v>
      </c>
      <c r="H48" s="1242">
        <f>SUBTOTAL(9,I3:I47)</f>
        <v>0</v>
      </c>
      <c r="I48" s="1243">
        <f>SUBTOTAL(9,I3:I47)</f>
        <v>0</v>
      </c>
      <c r="J48" s="1293">
        <f>G48-H48</f>
        <v>0</v>
      </c>
      <c r="K48" s="1294"/>
      <c r="L48" s="1295"/>
      <c r="M48" s="135" t="s">
        <v>5</v>
      </c>
    </row>
    <row r="49" spans="1:14" ht="12" customHeight="1" thickTop="1" thickBot="1">
      <c r="A49" s="390">
        <f>IF(ISERROR(J47),1,0)</f>
        <v>0</v>
      </c>
      <c r="B49" s="192">
        <f>J48-G49-E49-C49</f>
        <v>0</v>
      </c>
      <c r="C49" s="1239">
        <f>SUMIF(F4:F47,"Kreditkarte",G4:G47)</f>
        <v>0</v>
      </c>
      <c r="D49" s="1239"/>
      <c r="E49" s="1240">
        <f>SUMIF(F4:F47,"Konto",G4:G47)</f>
        <v>0</v>
      </c>
      <c r="F49" s="1240"/>
      <c r="G49" s="1241">
        <f>SUMIF(F4:F47,"Geldbeutel",G4:G47)</f>
        <v>0</v>
      </c>
      <c r="H49" s="1241"/>
      <c r="I49" s="1241"/>
      <c r="J49" s="1296"/>
      <c r="K49" s="1297"/>
      <c r="L49" s="1298"/>
      <c r="M49" s="135" t="s">
        <v>5</v>
      </c>
    </row>
    <row r="50" spans="1:14" s="15" customFormat="1" ht="5.25" customHeight="1" thickTop="1">
      <c r="A50" s="36"/>
      <c r="B50" s="2"/>
      <c r="C50" s="3"/>
      <c r="D50" s="3"/>
      <c r="E50" s="1"/>
      <c r="G50" s="16"/>
      <c r="H50" s="16"/>
      <c r="I50" s="17"/>
      <c r="J50" s="18"/>
      <c r="K50" s="18"/>
      <c r="L50" s="31"/>
      <c r="N50" s="148"/>
    </row>
    <row r="51" spans="1:14">
      <c r="A51" s="36"/>
    </row>
  </sheetData>
  <sheetProtection formatCells="0" insertRows="0" deleteRows="0" selectLockedCells="1" sort="0" autoFilter="0"/>
  <mergeCells count="15">
    <mergeCell ref="C2:I2"/>
    <mergeCell ref="J2:L2"/>
    <mergeCell ref="AA9:AB9"/>
    <mergeCell ref="O10:Z10"/>
    <mergeCell ref="O11:Z11"/>
    <mergeCell ref="AA4:AB4"/>
    <mergeCell ref="AA13:AB13"/>
    <mergeCell ref="O14:Z14"/>
    <mergeCell ref="AA14:AB14"/>
    <mergeCell ref="J48:L49"/>
    <mergeCell ref="C49:D49"/>
    <mergeCell ref="E49:F49"/>
    <mergeCell ref="G49:I49"/>
    <mergeCell ref="H48:I48"/>
    <mergeCell ref="B47:C47"/>
  </mergeCells>
  <conditionalFormatting sqref="A4:A46">
    <cfRule type="expression" dxfId="784" priority="22">
      <formula>ISERROR(J4)</formula>
    </cfRule>
    <cfRule type="cellIs" dxfId="783" priority="23" operator="equal">
      <formula>""</formula>
    </cfRule>
  </conditionalFormatting>
  <conditionalFormatting sqref="A47:C47">
    <cfRule type="expression" dxfId="782" priority="7">
      <formula>$A$48&lt;&gt;0</formula>
    </cfRule>
  </conditionalFormatting>
  <conditionalFormatting sqref="B2">
    <cfRule type="expression" dxfId="781" priority="49" stopIfTrue="1">
      <formula>$B$48="x"</formula>
    </cfRule>
  </conditionalFormatting>
  <conditionalFormatting sqref="B4:B46">
    <cfRule type="cellIs" dxfId="778" priority="36" operator="equal">
      <formula>""</formula>
    </cfRule>
  </conditionalFormatting>
  <conditionalFormatting sqref="B48">
    <cfRule type="cellIs" dxfId="777" priority="72" operator="equal">
      <formula>"y"</formula>
    </cfRule>
  </conditionalFormatting>
  <conditionalFormatting sqref="B3:J3">
    <cfRule type="expression" dxfId="776" priority="10142">
      <formula>$B$48="x"</formula>
    </cfRule>
  </conditionalFormatting>
  <conditionalFormatting sqref="B4:J46">
    <cfRule type="expression" dxfId="775" priority="32">
      <formula>$B$1="x"</formula>
    </cfRule>
  </conditionalFormatting>
  <conditionalFormatting sqref="B3:L3">
    <cfRule type="expression" dxfId="774" priority="66">
      <formula>$B$48="x"</formula>
    </cfRule>
  </conditionalFormatting>
  <conditionalFormatting sqref="C4:D46">
    <cfRule type="expression" dxfId="773" priority="39">
      <formula>AND($B4&lt;&gt;"",$C4="")</formula>
    </cfRule>
  </conditionalFormatting>
  <conditionalFormatting sqref="C49:I49">
    <cfRule type="cellIs" dxfId="772" priority="71" stopIfTrue="1" operator="lessThan">
      <formula>0</formula>
    </cfRule>
    <cfRule type="cellIs" dxfId="771" priority="69" stopIfTrue="1" operator="greaterThanOrEqual">
      <formula>0</formula>
    </cfRule>
  </conditionalFormatting>
  <conditionalFormatting sqref="D47:J47">
    <cfRule type="expression" dxfId="770" priority="9">
      <formula>$A$48&lt;&gt;0</formula>
    </cfRule>
  </conditionalFormatting>
  <conditionalFormatting sqref="H4:H46">
    <cfRule type="expression" dxfId="769" priority="35">
      <formula>AND(G4&lt;&gt;"",H4="",$I$1&lt;&gt;"x")</formula>
    </cfRule>
  </conditionalFormatting>
  <conditionalFormatting sqref="H4:I46">
    <cfRule type="expression" dxfId="768" priority="33">
      <formula>AND($I4&lt;&gt;0,$I$1&lt;&gt;"ü")</formula>
    </cfRule>
    <cfRule type="expression" dxfId="767" priority="34">
      <formula>$I$1&lt;&gt;"ü"</formula>
    </cfRule>
  </conditionalFormatting>
  <conditionalFormatting sqref="J48:L48 C49:L49 C48:H48">
    <cfRule type="expression" dxfId="765" priority="68">
      <formula>$B$48="x"</formula>
    </cfRule>
  </conditionalFormatting>
  <conditionalFormatting sqref="J48:L49">
    <cfRule type="expression" dxfId="764" priority="67">
      <formula>AND($B$48="x",$J$48&lt;&gt;0)</formula>
    </cfRule>
  </conditionalFormatting>
  <conditionalFormatting sqref="K4:L46">
    <cfRule type="expression" dxfId="763" priority="16517">
      <formula>$B$48="x"</formula>
    </cfRule>
  </conditionalFormatting>
  <conditionalFormatting sqref="M3">
    <cfRule type="cellIs" dxfId="762" priority="31" operator="equal">
      <formula>""</formula>
    </cfRule>
  </conditionalFormatting>
  <conditionalFormatting sqref="M4:M46">
    <cfRule type="expression" dxfId="761" priority="29">
      <formula>ISERROR(J4)</formula>
    </cfRule>
    <cfRule type="cellIs" dxfId="760" priority="30" operator="equal">
      <formula>""</formula>
    </cfRule>
  </conditionalFormatting>
  <conditionalFormatting sqref="M47">
    <cfRule type="expression" dxfId="759" priority="8">
      <formula>$A$48&lt;&gt;0</formula>
    </cfRule>
  </conditionalFormatting>
  <conditionalFormatting sqref="M47:M49">
    <cfRule type="cellIs" dxfId="758" priority="11" operator="equal">
      <formula>""</formula>
    </cfRule>
  </conditionalFormatting>
  <conditionalFormatting sqref="N10:AB10">
    <cfRule type="expression" dxfId="757" priority="6">
      <formula>$N$2=0</formula>
    </cfRule>
  </conditionalFormatting>
  <conditionalFormatting sqref="O11:Z11">
    <cfRule type="cellIs" dxfId="756" priority="53" operator="equal">
      <formula>"Fehler!"</formula>
    </cfRule>
  </conditionalFormatting>
  <conditionalFormatting sqref="O4:AA4">
    <cfRule type="expression" dxfId="752" priority="48">
      <formula>$N$2=0</formula>
    </cfRule>
  </conditionalFormatting>
  <conditionalFormatting sqref="O2:AB3">
    <cfRule type="expression" dxfId="750" priority="1">
      <formula>$N$2=0</formula>
    </cfRule>
  </conditionalFormatting>
  <conditionalFormatting sqref="O5:AB8 O9:AA9">
    <cfRule type="expression" dxfId="749" priority="52">
      <formula>$N$2=0</formula>
    </cfRule>
  </conditionalFormatting>
  <conditionalFormatting sqref="O11:AB14">
    <cfRule type="expression" dxfId="748" priority="3">
      <formula>$N$2=0</formula>
    </cfRule>
  </conditionalFormatting>
  <conditionalFormatting sqref="O47:AB49">
    <cfRule type="expression" dxfId="747" priority="10">
      <formula>$N$2=0</formula>
    </cfRule>
  </conditionalFormatting>
  <dataValidations count="2">
    <dataValidation type="list" allowBlank="1" showInputMessage="1" showErrorMessage="1" sqref="H4:H46" xr:uid="{CD1C489A-7583-44FB-928C-9033A3F409BC}">
      <formula1>"19,7,0,~"</formula1>
    </dataValidation>
    <dataValidation type="list" allowBlank="1" showInputMessage="1" showErrorMessage="1" sqref="F4:F46" xr:uid="{FA445DB7-6424-4E39-8925-451317323B5F}">
      <formula1>"Konto,Geldbeutel,Kreditkarte,x"</formula1>
    </dataValidation>
  </dataValidations>
  <hyperlinks>
    <hyperlink ref="J2" location="'2022 EÜR'!A1" display="Menü" xr:uid="{750E143E-D0A2-4F23-9112-02490148FFA9}"/>
    <hyperlink ref="J2:L2" location="EÜR!A1" display="EÜR" xr:uid="{F3C5F6C5-7427-48B5-8C30-8D51898CCB07}"/>
  </hyperlinks>
  <printOptions horizontalCentered="1"/>
  <pageMargins left="0" right="0" top="0" bottom="0.31496062992125984" header="0" footer="0"/>
  <pageSetup paperSize="9" orientation="portrait" r:id="rId1"/>
  <headerFooter>
    <oddFooter>&amp;L&amp;"Arial,Standard"&amp;8Datei: &amp;Z&amp;F/&amp;A&amp;C&amp;"Arial,Standard"&amp;8Seite &amp;P von &amp;N&amp;R&amp;"Arial,Standard"&amp;8Druck: &amp;D&amp;T Uhr</oddFooter>
  </headerFooter>
  <extLst>
    <ext xmlns:x14="http://schemas.microsoft.com/office/spreadsheetml/2009/9/main" uri="{78C0D931-6437-407d-A8EE-F0AAD7539E65}">
      <x14:conditionalFormattings>
        <x14:conditionalFormatting xmlns:xm="http://schemas.microsoft.com/office/excel/2006/main">
          <x14:cfRule type="cellIs" priority="37" operator="greaterThan" id="{7FEF7A30-D581-4815-B542-A19F17C4BC70}">
            <xm:f>EÜR!$I$78</xm:f>
            <x14:dxf>
              <font>
                <b/>
                <i val="0"/>
                <color rgb="FFFFFF00"/>
              </font>
              <fill>
                <patternFill>
                  <bgColor rgb="FFC00000"/>
                </patternFill>
              </fill>
            </x14:dxf>
          </x14:cfRule>
          <x14:cfRule type="cellIs" priority="38" operator="lessThan" id="{3CD2C9A1-7EDE-4BFF-9028-32FA4B58F478}">
            <xm:f>EÜR!$I$77</xm:f>
            <x14:dxf>
              <font>
                <b/>
                <i val="0"/>
                <color rgb="FFFFFF00"/>
              </font>
              <fill>
                <patternFill>
                  <bgColor rgb="FFC00000"/>
                </patternFill>
              </fill>
            </x14:dxf>
          </x14:cfRule>
          <xm:sqref>B4:B46</xm:sqref>
        </x14:conditionalFormatting>
        <x14:conditionalFormatting xmlns:xm="http://schemas.microsoft.com/office/excel/2006/main">
          <x14:cfRule type="expression" priority="50" id="{26689501-720A-4445-9F35-DCC8B86E1760}">
            <xm:f>AND(EÜR!$J$66&lt;&gt;"ü",$H$48&lt;&gt;0)</xm:f>
            <x14:dxf>
              <font>
                <b/>
                <i val="0"/>
                <color rgb="FFFFFF00"/>
              </font>
              <fill>
                <patternFill>
                  <bgColor rgb="FFFF0000"/>
                </patternFill>
              </fill>
            </x14:dxf>
          </x14:cfRule>
          <xm:sqref>H48:I48</xm:sqref>
        </x14:conditionalFormatting>
        <x14:conditionalFormatting xmlns:xm="http://schemas.microsoft.com/office/excel/2006/main">
          <x14:cfRule type="expression" priority="54" id="{ED66A758-CC7D-4B7E-8A89-53D8009D3BC5}">
            <xm:f>AND(O13&lt;&gt;0,U!L36="!",U!L37="!")</xm:f>
            <x14:dxf>
              <font>
                <b/>
                <i val="0"/>
                <color rgb="FFFF0000"/>
              </font>
              <fill>
                <patternFill>
                  <bgColor rgb="FFFFCCCC"/>
                </patternFill>
              </fill>
            </x14:dxf>
          </x14:cfRule>
          <x14:cfRule type="expression" priority="55" id="{F867C3A5-82C1-4028-84A6-7A603F248F52}">
            <xm:f>U!L37&lt;&gt;"!"</xm:f>
            <x14:dxf>
              <font>
                <b/>
                <i val="0"/>
                <color rgb="FF006666"/>
              </font>
              <fill>
                <patternFill>
                  <bgColor theme="6" tint="0.39994506668294322"/>
                </patternFill>
              </fill>
            </x14:dxf>
          </x14:cfRule>
          <x14:cfRule type="expression" priority="56" id="{3D5F08B1-5C09-47DE-AA63-A90FB677FB4B}">
            <xm:f>U!L36&lt;&gt;"!"</xm:f>
            <x14:dxf>
              <font>
                <b/>
                <i val="0"/>
                <color theme="9" tint="-0.499984740745262"/>
              </font>
              <fill>
                <patternFill>
                  <bgColor rgb="FFFFFF99"/>
                </patternFill>
              </fill>
            </x14:dxf>
          </x14:cfRule>
          <xm:sqref>O13:Z13</xm:sqref>
        </x14:conditionalFormatting>
        <x14:conditionalFormatting xmlns:xm="http://schemas.microsoft.com/office/excel/2006/main">
          <x14:cfRule type="expression" priority="2" id="{3DA037A5-1797-4812-837D-3953656CCB6F}">
            <xm:f>EÜR!$J$66="-"</xm:f>
            <x14:dxf>
              <font>
                <b/>
                <i val="0"/>
                <color theme="0"/>
              </font>
              <fill>
                <patternFill>
                  <bgColor theme="0"/>
                </patternFill>
              </fill>
              <border>
                <left/>
                <right/>
                <top/>
                <bottom/>
              </border>
            </x14:dxf>
          </x14:cfRule>
          <xm:sqref>O12:AA14</xm:sqref>
        </x14:conditionalFormatting>
      </x14:conditionalFormattings>
    </ext>
  </extLst>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EC67B5-781F-4109-AC01-68B55DA71196}">
  <sheetPr codeName="Tabelle26">
    <tabColor theme="9" tint="0.39997558519241921"/>
    <pageSetUpPr autoPageBreaks="0"/>
  </sheetPr>
  <dimension ref="A1:AB51"/>
  <sheetViews>
    <sheetView showGridLines="0" showRowColHeaders="0" zoomScaleNormal="100" workbookViewId="0">
      <pane ySplit="3" topLeftCell="A4" activePane="bottomLeft" state="frozen"/>
      <selection activeCell="F4" sqref="F4:F46"/>
      <selection pane="bottomLeft" activeCell="A4" sqref="A4"/>
    </sheetView>
  </sheetViews>
  <sheetFormatPr baseColWidth="10" defaultColWidth="9.77734375" defaultRowHeight="12.75"/>
  <cols>
    <col min="1" max="1" width="0.77734375" style="12" customWidth="1"/>
    <col min="2" max="2" width="7.6640625" style="30" customWidth="1"/>
    <col min="3" max="3" width="21.6640625" style="24" customWidth="1"/>
    <col min="4" max="4" width="7.6640625" style="24" customWidth="1"/>
    <col min="5" max="5" width="6.6640625" style="25" customWidth="1"/>
    <col min="6" max="6" width="9.6640625" style="26" customWidth="1"/>
    <col min="7" max="7" width="9.6640625" style="27" customWidth="1"/>
    <col min="8" max="8" width="2.6640625" style="28" customWidth="1"/>
    <col min="9" max="9" width="6.6640625" style="29" customWidth="1"/>
    <col min="10" max="10" width="9.6640625" style="27" customWidth="1"/>
    <col min="11" max="11" width="2.5546875" style="27" hidden="1" customWidth="1"/>
    <col min="12" max="12" width="1.5546875" style="32" hidden="1" customWidth="1"/>
    <col min="13" max="13" width="0.77734375" style="13" customWidth="1"/>
    <col min="14" max="14" width="1.77734375" style="147" customWidth="1"/>
    <col min="15" max="26" width="8.77734375" style="13" customWidth="1"/>
    <col min="27" max="27" width="10.33203125" style="13" customWidth="1"/>
    <col min="28" max="28" width="8.33203125" style="13" customWidth="1"/>
    <col min="29" max="16384" width="9.77734375" style="13"/>
  </cols>
  <sheetData>
    <row r="1" spans="1:28" s="37" customFormat="1" ht="3" customHeight="1" thickBot="1">
      <c r="A1" s="36"/>
      <c r="B1" s="53" t="str">
        <f>+B48</f>
        <v>ü</v>
      </c>
      <c r="C1" s="54">
        <f>+C49</f>
        <v>0</v>
      </c>
      <c r="D1" s="54"/>
      <c r="E1" s="53">
        <f>+E49</f>
        <v>0</v>
      </c>
      <c r="F1" s="53"/>
      <c r="G1" s="54">
        <f>+G49</f>
        <v>0</v>
      </c>
      <c r="H1" s="53"/>
      <c r="I1" s="338" t="str">
        <f>+EÜR!J66</f>
        <v>-</v>
      </c>
      <c r="J1" s="54">
        <f>+J48</f>
        <v>0</v>
      </c>
      <c r="K1" s="198"/>
      <c r="L1" s="56"/>
      <c r="N1" s="190"/>
    </row>
    <row r="2" spans="1:28" ht="23.1" customHeight="1" thickTop="1" thickBot="1">
      <c r="A2" s="36"/>
      <c r="B2" s="296" t="str">
        <f>+EÜR!D39</f>
        <v>A18</v>
      </c>
      <c r="C2" s="1290" t="str">
        <f>+EÜR!F39</f>
        <v>Kosten für Verpackung und Transport</v>
      </c>
      <c r="D2" s="1291"/>
      <c r="E2" s="1291"/>
      <c r="F2" s="1291"/>
      <c r="G2" s="1291"/>
      <c r="H2" s="1291"/>
      <c r="I2" s="1292"/>
      <c r="J2" s="1227" t="s">
        <v>8</v>
      </c>
      <c r="K2" s="1228"/>
      <c r="L2" s="1229"/>
      <c r="M2" s="134"/>
      <c r="N2" s="190">
        <f>IF(OR(B48="x",N3=1),0,1)</f>
        <v>1</v>
      </c>
      <c r="O2" s="188">
        <f>+EOMONTH(EÜR!$I$3,-1)+1</f>
        <v>46023</v>
      </c>
      <c r="P2" s="188">
        <f t="shared" ref="P2:Z2" si="0">+O3+1</f>
        <v>46054</v>
      </c>
      <c r="Q2" s="188">
        <f t="shared" si="0"/>
        <v>46082</v>
      </c>
      <c r="R2" s="188">
        <f t="shared" si="0"/>
        <v>46113</v>
      </c>
      <c r="S2" s="188">
        <f t="shared" si="0"/>
        <v>46143</v>
      </c>
      <c r="T2" s="188">
        <f t="shared" si="0"/>
        <v>46174</v>
      </c>
      <c r="U2" s="188">
        <f t="shared" si="0"/>
        <v>46204</v>
      </c>
      <c r="V2" s="188">
        <f t="shared" si="0"/>
        <v>46235</v>
      </c>
      <c r="W2" s="188">
        <f t="shared" si="0"/>
        <v>46266</v>
      </c>
      <c r="X2" s="188">
        <f t="shared" si="0"/>
        <v>46296</v>
      </c>
      <c r="Y2" s="188">
        <f t="shared" si="0"/>
        <v>46327</v>
      </c>
      <c r="Z2" s="188">
        <f t="shared" si="0"/>
        <v>46357</v>
      </c>
      <c r="AA2" s="48"/>
    </row>
    <row r="3" spans="1:28" ht="14.25" customHeight="1" thickTop="1">
      <c r="A3" s="36" t="s">
        <v>5</v>
      </c>
      <c r="B3" s="58" t="s">
        <v>1</v>
      </c>
      <c r="C3" s="59" t="s">
        <v>6</v>
      </c>
      <c r="D3" s="60"/>
      <c r="E3" s="310" t="s">
        <v>7</v>
      </c>
      <c r="F3" s="61" t="s">
        <v>4</v>
      </c>
      <c r="G3" s="62" t="s">
        <v>31</v>
      </c>
      <c r="H3" s="63" t="s">
        <v>33</v>
      </c>
      <c r="I3" s="64" t="s">
        <v>32</v>
      </c>
      <c r="J3" s="275" t="s">
        <v>34</v>
      </c>
      <c r="K3" s="199">
        <v>0</v>
      </c>
      <c r="L3" s="65" t="s">
        <v>5</v>
      </c>
      <c r="M3" s="135" t="s">
        <v>5</v>
      </c>
      <c r="N3" s="222">
        <f>IF(SUBTOTAL(109,K3:K47)&lt;&gt;SUM(K3:K47),1,0)</f>
        <v>0</v>
      </c>
      <c r="O3" s="189">
        <f>EOMONTH(O2,0)</f>
        <v>46053</v>
      </c>
      <c r="P3" s="189">
        <f t="shared" ref="P3:Z3" si="1">EOMONTH(P2,0)</f>
        <v>46081</v>
      </c>
      <c r="Q3" s="189">
        <f t="shared" si="1"/>
        <v>46112</v>
      </c>
      <c r="R3" s="189">
        <f t="shared" si="1"/>
        <v>46142</v>
      </c>
      <c r="S3" s="189">
        <f t="shared" si="1"/>
        <v>46173</v>
      </c>
      <c r="T3" s="189">
        <f t="shared" si="1"/>
        <v>46203</v>
      </c>
      <c r="U3" s="189">
        <f t="shared" si="1"/>
        <v>46234</v>
      </c>
      <c r="V3" s="189">
        <f t="shared" si="1"/>
        <v>46265</v>
      </c>
      <c r="W3" s="189">
        <f t="shared" si="1"/>
        <v>46295</v>
      </c>
      <c r="X3" s="189">
        <f t="shared" si="1"/>
        <v>46326</v>
      </c>
      <c r="Y3" s="189">
        <f t="shared" si="1"/>
        <v>46356</v>
      </c>
      <c r="Z3" s="189">
        <f t="shared" si="1"/>
        <v>46387</v>
      </c>
      <c r="AB3" s="14"/>
    </row>
    <row r="4" spans="1:28" ht="13.35" customHeight="1">
      <c r="A4" s="50" t="s">
        <v>5</v>
      </c>
      <c r="B4" s="141"/>
      <c r="C4" s="80"/>
      <c r="D4" s="93"/>
      <c r="E4" s="226"/>
      <c r="F4" s="89"/>
      <c r="G4" s="81"/>
      <c r="H4" s="82"/>
      <c r="I4" s="83" t="str">
        <f t="shared" ref="I4:I44" si="2">IF(G4&lt;&gt;"",+G4-G4/(1+H4/100),"")</f>
        <v/>
      </c>
      <c r="J4" s="361" t="str">
        <f t="shared" ref="J4:J44" si="3">IF(G4&lt;&gt;0,+G4-I4,"")</f>
        <v/>
      </c>
      <c r="K4" s="200">
        <v>1</v>
      </c>
      <c r="L4" s="133">
        <f>IF(B4&lt;$O$2,0,IF(B4&lt;$P$2,1,IF(B4&lt;$Q$2,2,IF(B4&lt;$R$2,3,IF(B4&lt;$S$2,4,IF(B4&lt;$T$2,5,IF(B4&lt;$U$2,6,IF(B4&lt;$V$2,7,IF(B4&lt;$W$2,8,IF(B4&lt;$X$2,9,IF(B4&lt;$Y$2,10,IF(B4&lt;$Z$2,11,IF(B4&lt;=$Z$3,12,0)))))))))))))</f>
        <v>0</v>
      </c>
      <c r="M4" s="135" t="s">
        <v>5</v>
      </c>
      <c r="N4" s="190">
        <f>+N10+AA12+AA16</f>
        <v>0</v>
      </c>
      <c r="O4" s="251" t="s">
        <v>36</v>
      </c>
      <c r="P4" s="251" t="s">
        <v>37</v>
      </c>
      <c r="Q4" s="251" t="s">
        <v>38</v>
      </c>
      <c r="R4" s="251" t="s">
        <v>39</v>
      </c>
      <c r="S4" s="251" t="s">
        <v>40</v>
      </c>
      <c r="T4" s="251" t="s">
        <v>41</v>
      </c>
      <c r="U4" s="251" t="s">
        <v>42</v>
      </c>
      <c r="V4" s="251" t="s">
        <v>43</v>
      </c>
      <c r="W4" s="251" t="s">
        <v>44</v>
      </c>
      <c r="X4" s="251" t="s">
        <v>45</v>
      </c>
      <c r="Y4" s="251" t="s">
        <v>46</v>
      </c>
      <c r="Z4" s="251" t="s">
        <v>47</v>
      </c>
      <c r="AA4" s="1209" t="s">
        <v>255</v>
      </c>
      <c r="AB4" s="1210"/>
    </row>
    <row r="5" spans="1:28" ht="13.35" customHeight="1">
      <c r="A5" s="50" t="s">
        <v>5</v>
      </c>
      <c r="B5" s="141"/>
      <c r="C5" s="80"/>
      <c r="D5" s="93"/>
      <c r="E5" s="226"/>
      <c r="F5" s="89"/>
      <c r="G5" s="81"/>
      <c r="H5" s="82"/>
      <c r="I5" s="83" t="str">
        <f t="shared" si="2"/>
        <v/>
      </c>
      <c r="J5" s="361" t="str">
        <f t="shared" si="3"/>
        <v/>
      </c>
      <c r="K5" s="200">
        <v>2</v>
      </c>
      <c r="L5" s="133">
        <f t="shared" ref="L5:L44" si="4">IF(B5&lt;$O$2,0,IF(B5&lt;$P$2,1,IF(B5&lt;$Q$2,2,IF(B5&lt;$R$2,3,IF(B5&lt;$S$2,4,IF(B5&lt;$T$2,5,IF(B5&lt;$U$2,6,IF(B5&lt;$V$2,7,IF(B5&lt;$W$2,8,IF(B5&lt;$X$2,9,IF(B5&lt;$Y$2,10,IF(B5&lt;$Z$2,11,IF(B5&lt;=$Z$3,12,0)))))))))))))</f>
        <v>0</v>
      </c>
      <c r="M5" s="135" t="s">
        <v>5</v>
      </c>
      <c r="O5" s="252">
        <f>SUMIFS($G$3:$G$47,$L$3:$L$47,1,$F$3:$F$47,"Konto")</f>
        <v>0</v>
      </c>
      <c r="P5" s="252">
        <f>SUMIFS($G$3:$G$47,$L$3:$L$47,2,$F$3:$F$47,"Konto")</f>
        <v>0</v>
      </c>
      <c r="Q5" s="252">
        <f>SUMIFS($G$3:$G$47,$L$3:$L$47,3,$F$3:$F$47,"Konto")</f>
        <v>0</v>
      </c>
      <c r="R5" s="252">
        <f>SUMIFS($G$3:$G$47,$L$3:$L$47,4,$F$3:$F$47,"Konto")</f>
        <v>0</v>
      </c>
      <c r="S5" s="252">
        <f>SUMIFS($G$3:$G$47,$L$3:$L$47,5,$F$3:$F$47,"Konto")</f>
        <v>0</v>
      </c>
      <c r="T5" s="252">
        <f>SUMIFS($G$3:$G$47,$L$3:$L$47,6,$F$3:$F$47,"Konto")</f>
        <v>0</v>
      </c>
      <c r="U5" s="252">
        <f>SUMIFS($G$3:$G$47,$L$3:$L$47,7,$F$3:$F$47,"Konto")</f>
        <v>0</v>
      </c>
      <c r="V5" s="252">
        <f>SUMIFS($G$3:$G$47,$L$3:$L$47,8,$F$3:$F$47,"Konto")</f>
        <v>0</v>
      </c>
      <c r="W5" s="252">
        <f>SUMIFS($G$3:$G$47,$L$3:$L$47,9,$F$3:$F$47,"Konto")</f>
        <v>0</v>
      </c>
      <c r="X5" s="252">
        <f>SUMIFS($G$3:$G$47,$L$3:$L$47,10,$F$3:$F$47,"Konto")</f>
        <v>0</v>
      </c>
      <c r="Y5" s="252">
        <f>SUMIFS($G$3:$G$47,$L$3:$L$47,11,$F$3:$F$47,"Konto")</f>
        <v>0</v>
      </c>
      <c r="Z5" s="252">
        <f>SUMIFS($G$3:$G$47,$L$3:$L$47,12,$F$3:$F$47,"Konto")</f>
        <v>0</v>
      </c>
      <c r="AA5" s="253">
        <f>SUM(O5:Z5)</f>
        <v>0</v>
      </c>
      <c r="AB5" s="254" t="s">
        <v>140</v>
      </c>
    </row>
    <row r="6" spans="1:28" ht="13.35" customHeight="1">
      <c r="A6" s="50" t="s">
        <v>5</v>
      </c>
      <c r="B6" s="141"/>
      <c r="C6" s="80"/>
      <c r="D6" s="93"/>
      <c r="E6" s="226"/>
      <c r="F6" s="89"/>
      <c r="G6" s="81"/>
      <c r="H6" s="82"/>
      <c r="I6" s="83" t="str">
        <f t="shared" si="2"/>
        <v/>
      </c>
      <c r="J6" s="361" t="str">
        <f t="shared" si="3"/>
        <v/>
      </c>
      <c r="K6" s="200">
        <v>3</v>
      </c>
      <c r="L6" s="133">
        <f t="shared" si="4"/>
        <v>0</v>
      </c>
      <c r="M6" s="135" t="s">
        <v>5</v>
      </c>
      <c r="N6" s="190"/>
      <c r="O6" s="252">
        <f>SUMIFS($G$3:$G$47,$L$3:$L$47,1,$F$3:$F$47,"Kreditkarte")</f>
        <v>0</v>
      </c>
      <c r="P6" s="252">
        <f>SUMIFS($G$3:$G$47,$L$3:$L$47,2,$F$3:$F$47,"Kreditkarte")</f>
        <v>0</v>
      </c>
      <c r="Q6" s="252">
        <f>SUMIFS($G$3:$G$47,$L$3:$L$47,3,$F$3:$F$47,"Kreditkarte")</f>
        <v>0</v>
      </c>
      <c r="R6" s="252">
        <f>SUMIFS($G$3:$G$47,$L$3:$L$47,4,$F$3:$F$47,"Kreditkarte")</f>
        <v>0</v>
      </c>
      <c r="S6" s="252">
        <f>SUMIFS($G$3:$G$47,$L$3:$L$47,5,$F$3:$F$47,"Kreditkarte")</f>
        <v>0</v>
      </c>
      <c r="T6" s="252">
        <f>SUMIFS($G$3:$G$47,$L$3:$L$47,6,$F$3:$F$47,"Kreditkarte")</f>
        <v>0</v>
      </c>
      <c r="U6" s="252">
        <f>SUMIFS($G$3:$G$47,$L$3:$L$47,7,$F$3:$F$47,"Kreditkarte")</f>
        <v>0</v>
      </c>
      <c r="V6" s="252">
        <f>SUMIFS($G$3:$G$47,$L$3:$L$47,8,$F$3:$F$47,"Kreditkarte")</f>
        <v>0</v>
      </c>
      <c r="W6" s="252">
        <f>SUMIFS($G$3:$G$47,$L$3:$L$47,9,$F$3:$F$47,"Kreditkarte")</f>
        <v>0</v>
      </c>
      <c r="X6" s="252">
        <f>SUMIFS($G$3:$G$47,$L$3:$L$47,10,$F$3:$F$47,"Kreditkarte")</f>
        <v>0</v>
      </c>
      <c r="Y6" s="252">
        <f>SUMIFS($G$3:$G$47,$L$3:$L$47,11,$F$3:$F$47,"Kreditkarte")</f>
        <v>0</v>
      </c>
      <c r="Z6" s="252">
        <f>SUMIFS($G$3:$G$47,$L$3:$L$47,12,$F$3:$F$47,"Kreditkarte")</f>
        <v>0</v>
      </c>
      <c r="AA6" s="255">
        <f t="shared" ref="AA6:AA8" si="5">SUM(O6:Z6)</f>
        <v>0</v>
      </c>
      <c r="AB6" s="256" t="s">
        <v>142</v>
      </c>
    </row>
    <row r="7" spans="1:28" ht="13.35" customHeight="1">
      <c r="A7" s="50" t="s">
        <v>5</v>
      </c>
      <c r="B7" s="141"/>
      <c r="C7" s="80"/>
      <c r="D7" s="93"/>
      <c r="E7" s="226"/>
      <c r="F7" s="89"/>
      <c r="G7" s="81"/>
      <c r="H7" s="82"/>
      <c r="I7" s="83" t="str">
        <f t="shared" si="2"/>
        <v/>
      </c>
      <c r="J7" s="361" t="str">
        <f t="shared" si="3"/>
        <v/>
      </c>
      <c r="K7" s="200">
        <v>4</v>
      </c>
      <c r="L7" s="133">
        <f t="shared" si="4"/>
        <v>0</v>
      </c>
      <c r="M7" s="135" t="s">
        <v>5</v>
      </c>
      <c r="O7" s="252">
        <f>SUMIFS($G$3:$G$47,$L$3:$L$47,1,$F$3:$F$47,"Geldbeutel")</f>
        <v>0</v>
      </c>
      <c r="P7" s="252">
        <f>SUMIFS($G$3:$G$47,$L$3:$L$47,2,$F$3:$F$47,"Geldbeutel")</f>
        <v>0</v>
      </c>
      <c r="Q7" s="252">
        <f>SUMIFS($G$3:$G$47,$L$3:$L$47,3,$F$3:$F$47,"Geldbeutel")</f>
        <v>0</v>
      </c>
      <c r="R7" s="252">
        <f>SUMIFS($G$3:$G$47,$L$3:$L$47,4,$F$3:$F$47,"Geldbeutel")</f>
        <v>0</v>
      </c>
      <c r="S7" s="252">
        <f>SUMIFS($G$3:$G$47,$L$3:$L$47,5,$F$3:$F$47,"Geldbeutel")</f>
        <v>0</v>
      </c>
      <c r="T7" s="252">
        <f>SUMIFS($G$3:$G$47,$L$3:$L$47,6,$F$3:$F$47,"Geldbeutel")</f>
        <v>0</v>
      </c>
      <c r="U7" s="252">
        <f>SUMIFS($G$3:$G$47,$L$3:$L$47,7,$F$3:$F$47,"Geldbeutel")</f>
        <v>0</v>
      </c>
      <c r="V7" s="252">
        <f>SUMIFS($G$3:$G$47,$L$3:$L$47,8,$F$3:$F$47,"Geldbeutel")</f>
        <v>0</v>
      </c>
      <c r="W7" s="252">
        <f>SUMIFS($G$3:$G$47,$L$3:$L$47,9,$F$3:$F$47,"Geldbeutel")</f>
        <v>0</v>
      </c>
      <c r="X7" s="252">
        <f>SUMIFS($G$3:$G$47,$L$3:$L$47,10,$F$3:$F$47,"Geldbeutel")</f>
        <v>0</v>
      </c>
      <c r="Y7" s="252">
        <f>SUMIFS($G$3:$G$47,$L$3:$L$47,11,$F$3:$F$47,"Geldbeutel")</f>
        <v>0</v>
      </c>
      <c r="Z7" s="252">
        <f>SUMIFS($G$3:$G$47,$L$3:$L$47,12,$F$3:$F$47,"Geldbeutel")</f>
        <v>0</v>
      </c>
      <c r="AA7" s="253">
        <f t="shared" si="5"/>
        <v>0</v>
      </c>
      <c r="AB7" s="254" t="s">
        <v>139</v>
      </c>
    </row>
    <row r="8" spans="1:28" ht="13.35" customHeight="1">
      <c r="A8" s="50" t="s">
        <v>5</v>
      </c>
      <c r="B8" s="141"/>
      <c r="C8" s="80"/>
      <c r="D8" s="93"/>
      <c r="E8" s="226"/>
      <c r="F8" s="89"/>
      <c r="G8" s="81"/>
      <c r="H8" s="82"/>
      <c r="I8" s="83" t="str">
        <f t="shared" si="2"/>
        <v/>
      </c>
      <c r="J8" s="361" t="str">
        <f t="shared" si="3"/>
        <v/>
      </c>
      <c r="K8" s="200">
        <v>5</v>
      </c>
      <c r="L8" s="133">
        <f t="shared" si="4"/>
        <v>0</v>
      </c>
      <c r="M8" s="135" t="s">
        <v>5</v>
      </c>
      <c r="O8" s="252">
        <f>SUMIFS($G$3:$G$47,$L$3:$L$47,1,$F$3:$F$47,"X")</f>
        <v>0</v>
      </c>
      <c r="P8" s="252">
        <f>SUMIFS($G$3:$G$47,$L$3:$L$47,2,$F$3:$F$47,"X")</f>
        <v>0</v>
      </c>
      <c r="Q8" s="252">
        <f>SUMIFS($G$3:$G$47,$L$3:$L$47,3,$F$3:$F$47,"X")</f>
        <v>0</v>
      </c>
      <c r="R8" s="252">
        <f>SUMIFS($G$3:$G$47,$L$3:$L$47,4,$F$3:$F$47,"X")</f>
        <v>0</v>
      </c>
      <c r="S8" s="252">
        <f>SUMIFS($G$3:$G$47,$L$3:$L$47,5,$F$3:$F$47,"X")</f>
        <v>0</v>
      </c>
      <c r="T8" s="252">
        <f>SUMIFS($G$3:$G$47,$L$3:$L$47,6,$F$3:$F$47,"X")</f>
        <v>0</v>
      </c>
      <c r="U8" s="252">
        <f>SUMIFS($G$3:$G$47,$L$3:$L$47,7,$F$3:$F$47,"X")</f>
        <v>0</v>
      </c>
      <c r="V8" s="252">
        <f>SUMIFS($G$3:$G$47,$L$3:$L$47,8,$F$3:$F$47,"X")</f>
        <v>0</v>
      </c>
      <c r="W8" s="252">
        <f>SUMIFS($G$3:$G$47,$L$3:$L$47,9,$F$3:$F$47,"X")</f>
        <v>0</v>
      </c>
      <c r="X8" s="252">
        <f>SUMIFS($G$3:$G$47,$L$3:$L$47,10,$F$3:$F$47,"X")</f>
        <v>0</v>
      </c>
      <c r="Y8" s="252">
        <f>SUMIFS($G$3:$G$47,$L$3:$L$47,11,$F$3:$F$47,"X")</f>
        <v>0</v>
      </c>
      <c r="Z8" s="252">
        <f>SUMIFS($G$3:$G$47,$L$3:$L$47,12,$F$3:$F$47,"X")</f>
        <v>0</v>
      </c>
      <c r="AA8" s="255">
        <f t="shared" si="5"/>
        <v>0</v>
      </c>
      <c r="AB8" s="256" t="s">
        <v>192</v>
      </c>
    </row>
    <row r="9" spans="1:28" ht="13.35" customHeight="1">
      <c r="A9" s="50" t="s">
        <v>5</v>
      </c>
      <c r="B9" s="141"/>
      <c r="C9" s="80"/>
      <c r="D9" s="93"/>
      <c r="E9" s="226"/>
      <c r="F9" s="89"/>
      <c r="G9" s="81"/>
      <c r="H9" s="82"/>
      <c r="I9" s="83" t="str">
        <f t="shared" si="2"/>
        <v/>
      </c>
      <c r="J9" s="361" t="str">
        <f t="shared" si="3"/>
        <v/>
      </c>
      <c r="K9" s="200">
        <v>6</v>
      </c>
      <c r="L9" s="133">
        <f t="shared" si="4"/>
        <v>0</v>
      </c>
      <c r="M9" s="135" t="s">
        <v>5</v>
      </c>
      <c r="N9" s="191">
        <f>IF(OR(AND(AA14&lt;&gt;0,B48="x"),(O14+AA13)&lt;&gt;H48),1,0)</f>
        <v>0</v>
      </c>
      <c r="O9" s="257">
        <f>SUM(O5:O8)</f>
        <v>0</v>
      </c>
      <c r="P9" s="257">
        <f t="shared" ref="P9:Z9" si="6">SUM(P5:P8)</f>
        <v>0</v>
      </c>
      <c r="Q9" s="257">
        <f t="shared" si="6"/>
        <v>0</v>
      </c>
      <c r="R9" s="257">
        <f t="shared" si="6"/>
        <v>0</v>
      </c>
      <c r="S9" s="257">
        <f t="shared" si="6"/>
        <v>0</v>
      </c>
      <c r="T9" s="257">
        <f t="shared" si="6"/>
        <v>0</v>
      </c>
      <c r="U9" s="257">
        <f t="shared" si="6"/>
        <v>0</v>
      </c>
      <c r="V9" s="257">
        <f t="shared" si="6"/>
        <v>0</v>
      </c>
      <c r="W9" s="257">
        <f t="shared" si="6"/>
        <v>0</v>
      </c>
      <c r="X9" s="257">
        <f t="shared" si="6"/>
        <v>0</v>
      </c>
      <c r="Y9" s="257">
        <f t="shared" si="6"/>
        <v>0</v>
      </c>
      <c r="Z9" s="257">
        <f t="shared" si="6"/>
        <v>0</v>
      </c>
      <c r="AA9" s="1211" t="s">
        <v>197</v>
      </c>
      <c r="AB9" s="1212"/>
    </row>
    <row r="10" spans="1:28" ht="13.35" customHeight="1">
      <c r="A10" s="50" t="s">
        <v>5</v>
      </c>
      <c r="B10" s="141"/>
      <c r="C10" s="80"/>
      <c r="D10" s="93"/>
      <c r="E10" s="226"/>
      <c r="F10" s="89"/>
      <c r="G10" s="81"/>
      <c r="H10" s="82"/>
      <c r="I10" s="83" t="str">
        <f t="shared" si="2"/>
        <v/>
      </c>
      <c r="J10" s="361" t="str">
        <f t="shared" si="3"/>
        <v/>
      </c>
      <c r="K10" s="200">
        <v>7</v>
      </c>
      <c r="L10" s="133">
        <f t="shared" si="4"/>
        <v>0</v>
      </c>
      <c r="M10" s="135" t="s">
        <v>5</v>
      </c>
      <c r="N10" s="259">
        <f>IF(O10+AA10&lt;&gt;G48,1,0)</f>
        <v>0</v>
      </c>
      <c r="O10" s="1230">
        <f>SUM(O5:Z8)</f>
        <v>0</v>
      </c>
      <c r="P10" s="1231"/>
      <c r="Q10" s="1231"/>
      <c r="R10" s="1231"/>
      <c r="S10" s="1231"/>
      <c r="T10" s="1231"/>
      <c r="U10" s="1231"/>
      <c r="V10" s="1231"/>
      <c r="W10" s="1231"/>
      <c r="X10" s="1231"/>
      <c r="Y10" s="1231"/>
      <c r="Z10" s="1232"/>
      <c r="AA10" s="292">
        <f>+G48-AA7-AA6-AA5-AA8</f>
        <v>0</v>
      </c>
      <c r="AB10" s="293" t="s">
        <v>205</v>
      </c>
    </row>
    <row r="11" spans="1:28" ht="13.35" customHeight="1">
      <c r="A11" s="50" t="s">
        <v>5</v>
      </c>
      <c r="B11" s="141"/>
      <c r="C11" s="80"/>
      <c r="D11" s="93"/>
      <c r="E11" s="226"/>
      <c r="F11" s="89"/>
      <c r="G11" s="81"/>
      <c r="H11" s="82"/>
      <c r="I11" s="83" t="str">
        <f t="shared" si="2"/>
        <v/>
      </c>
      <c r="J11" s="361" t="str">
        <f t="shared" si="3"/>
        <v/>
      </c>
      <c r="K11" s="200">
        <v>8</v>
      </c>
      <c r="L11" s="133">
        <f t="shared" si="4"/>
        <v>0</v>
      </c>
      <c r="M11" s="135" t="s">
        <v>5</v>
      </c>
      <c r="O11" s="1219" t="str">
        <f>IF(N4&gt;0,"Fehler!","")</f>
        <v/>
      </c>
      <c r="P11" s="1219"/>
      <c r="Q11" s="1219"/>
      <c r="R11" s="1219"/>
      <c r="S11" s="1219"/>
      <c r="T11" s="1219"/>
      <c r="U11" s="1219"/>
      <c r="V11" s="1219"/>
      <c r="W11" s="1219"/>
      <c r="X11" s="1219"/>
      <c r="Y11" s="1219"/>
      <c r="Z11" s="1219"/>
    </row>
    <row r="12" spans="1:28" ht="13.35" customHeight="1">
      <c r="A12" s="50" t="s">
        <v>5</v>
      </c>
      <c r="B12" s="141"/>
      <c r="C12" s="80"/>
      <c r="D12" s="93"/>
      <c r="E12" s="226"/>
      <c r="F12" s="89"/>
      <c r="G12" s="81"/>
      <c r="H12" s="82"/>
      <c r="I12" s="83" t="str">
        <f t="shared" si="2"/>
        <v/>
      </c>
      <c r="J12" s="361" t="str">
        <f t="shared" si="3"/>
        <v/>
      </c>
      <c r="K12" s="200">
        <v>9</v>
      </c>
      <c r="L12" s="133">
        <f t="shared" si="4"/>
        <v>0</v>
      </c>
      <c r="M12" s="135" t="s">
        <v>5</v>
      </c>
      <c r="O12" s="203" t="s">
        <v>36</v>
      </c>
      <c r="P12" s="203" t="s">
        <v>37</v>
      </c>
      <c r="Q12" s="203" t="s">
        <v>38</v>
      </c>
      <c r="R12" s="203" t="s">
        <v>39</v>
      </c>
      <c r="S12" s="203" t="s">
        <v>40</v>
      </c>
      <c r="T12" s="203" t="s">
        <v>41</v>
      </c>
      <c r="U12" s="203" t="s">
        <v>42</v>
      </c>
      <c r="V12" s="203" t="s">
        <v>43</v>
      </c>
      <c r="W12" s="203" t="s">
        <v>44</v>
      </c>
      <c r="X12" s="203" t="s">
        <v>45</v>
      </c>
      <c r="Y12" s="203" t="s">
        <v>46</v>
      </c>
      <c r="Z12" s="203" t="s">
        <v>47</v>
      </c>
      <c r="AA12" s="221">
        <f>IF(O14+AA13&lt;&gt;H48,1,0)</f>
        <v>0</v>
      </c>
    </row>
    <row r="13" spans="1:28" ht="13.35" customHeight="1">
      <c r="A13" s="50" t="s">
        <v>5</v>
      </c>
      <c r="B13" s="141"/>
      <c r="C13" s="80"/>
      <c r="D13" s="93"/>
      <c r="E13" s="226"/>
      <c r="F13" s="89"/>
      <c r="G13" s="81"/>
      <c r="H13" s="82"/>
      <c r="I13" s="83" t="str">
        <f t="shared" si="2"/>
        <v/>
      </c>
      <c r="J13" s="361" t="str">
        <f t="shared" si="3"/>
        <v/>
      </c>
      <c r="K13" s="200">
        <v>10</v>
      </c>
      <c r="L13" s="133">
        <f t="shared" si="4"/>
        <v>0</v>
      </c>
      <c r="M13" s="135" t="s">
        <v>5</v>
      </c>
      <c r="O13" s="187">
        <f>SUMIF($L$3:$L$47,1,$I$3:$I$47)</f>
        <v>0</v>
      </c>
      <c r="P13" s="187">
        <f>SUMIF($L$3:$L$47,2,$I$3:$I$47)</f>
        <v>0</v>
      </c>
      <c r="Q13" s="187">
        <f>SUMIF($L$3:$L$47,3,$I$3:$I$47)</f>
        <v>0</v>
      </c>
      <c r="R13" s="187">
        <f>SUMIF($L$3:$L$47,4,$I$3:$I$47)</f>
        <v>0</v>
      </c>
      <c r="S13" s="187">
        <f>SUMIF($L$3:$L$47,5,$I$3:$I$47)</f>
        <v>0</v>
      </c>
      <c r="T13" s="187">
        <f>SUMIF($L$3:$L$47,6,$I$3:$I$47)</f>
        <v>0</v>
      </c>
      <c r="U13" s="187">
        <f>SUMIF($L$3:$L$47,7,$I$3:$I$47)</f>
        <v>0</v>
      </c>
      <c r="V13" s="187">
        <f>SUMIF($L$3:$L$47,8,$I$3:$I$47)</f>
        <v>0</v>
      </c>
      <c r="W13" s="187">
        <f>SUMIF($L$3:$L$47,9,$I$3:$I$47)</f>
        <v>0</v>
      </c>
      <c r="X13" s="187">
        <f>SUMIF($L$3:$L$47,10,$I$3:$I$47)</f>
        <v>0</v>
      </c>
      <c r="Y13" s="187">
        <f>SUMIF($L$3:$L$47,11,$I$3:$I$47)</f>
        <v>0</v>
      </c>
      <c r="Z13" s="187">
        <f>SUMIF($L$3:$L$47,12,$I$3:$I$47)</f>
        <v>0</v>
      </c>
      <c r="AA13" s="1220">
        <f>SUMIF($L$3:$L$47,0,$I$3:$I$47)</f>
        <v>0</v>
      </c>
      <c r="AB13" s="1221"/>
    </row>
    <row r="14" spans="1:28" ht="13.35" customHeight="1">
      <c r="A14" s="50" t="s">
        <v>5</v>
      </c>
      <c r="B14" s="141"/>
      <c r="C14" s="80"/>
      <c r="D14" s="93"/>
      <c r="E14" s="226"/>
      <c r="F14" s="89"/>
      <c r="G14" s="81"/>
      <c r="H14" s="82"/>
      <c r="I14" s="83" t="str">
        <f t="shared" si="2"/>
        <v/>
      </c>
      <c r="J14" s="361" t="str">
        <f t="shared" si="3"/>
        <v/>
      </c>
      <c r="K14" s="200">
        <v>11</v>
      </c>
      <c r="L14" s="133">
        <f t="shared" si="4"/>
        <v>0</v>
      </c>
      <c r="M14" s="135" t="s">
        <v>5</v>
      </c>
      <c r="O14" s="1299">
        <f>SUM(O13:Z13)</f>
        <v>0</v>
      </c>
      <c r="P14" s="1300"/>
      <c r="Q14" s="1300"/>
      <c r="R14" s="1300"/>
      <c r="S14" s="1300"/>
      <c r="T14" s="1300"/>
      <c r="U14" s="1300"/>
      <c r="V14" s="1300"/>
      <c r="W14" s="1300"/>
      <c r="X14" s="1300"/>
      <c r="Y14" s="1300"/>
      <c r="Z14" s="1301"/>
      <c r="AA14" s="1222">
        <f>SUM(O13:Z13)+AA13</f>
        <v>0</v>
      </c>
      <c r="AB14" s="1223"/>
    </row>
    <row r="15" spans="1:28" ht="13.35" customHeight="1">
      <c r="A15" s="50" t="s">
        <v>5</v>
      </c>
      <c r="B15" s="141"/>
      <c r="C15" s="260"/>
      <c r="D15" s="93"/>
      <c r="E15" s="226"/>
      <c r="F15" s="89"/>
      <c r="G15" s="81"/>
      <c r="H15" s="82"/>
      <c r="I15" s="83" t="str">
        <f t="shared" si="2"/>
        <v/>
      </c>
      <c r="J15" s="361" t="str">
        <f t="shared" si="3"/>
        <v/>
      </c>
      <c r="K15" s="200">
        <v>12</v>
      </c>
      <c r="L15" s="133">
        <f t="shared" si="4"/>
        <v>0</v>
      </c>
      <c r="M15" s="135" t="s">
        <v>5</v>
      </c>
      <c r="O15" s="244"/>
      <c r="P15" s="244"/>
      <c r="Q15" s="244"/>
      <c r="R15" s="244"/>
      <c r="S15" s="244"/>
      <c r="T15" s="244"/>
      <c r="U15" s="244"/>
      <c r="V15" s="244"/>
      <c r="W15" s="244"/>
      <c r="X15" s="244"/>
      <c r="Y15" s="244"/>
      <c r="Z15" s="244"/>
      <c r="AA15" s="244"/>
      <c r="AB15" s="244"/>
    </row>
    <row r="16" spans="1:28" ht="13.35" customHeight="1">
      <c r="A16" s="50" t="s">
        <v>5</v>
      </c>
      <c r="B16" s="141"/>
      <c r="C16" s="80"/>
      <c r="D16" s="93"/>
      <c r="E16" s="226"/>
      <c r="F16" s="89"/>
      <c r="G16" s="81"/>
      <c r="H16" s="82"/>
      <c r="I16" s="83" t="str">
        <f t="shared" si="2"/>
        <v/>
      </c>
      <c r="J16" s="361" t="str">
        <f t="shared" si="3"/>
        <v/>
      </c>
      <c r="K16" s="200">
        <v>13</v>
      </c>
      <c r="L16" s="133">
        <f t="shared" si="4"/>
        <v>0</v>
      </c>
      <c r="M16" s="135" t="s">
        <v>5</v>
      </c>
      <c r="O16" s="244"/>
      <c r="P16" s="244"/>
      <c r="Q16" s="244"/>
      <c r="R16" s="244"/>
      <c r="S16" s="244"/>
      <c r="T16" s="244"/>
      <c r="U16" s="244"/>
      <c r="V16" s="244"/>
      <c r="W16" s="244"/>
      <c r="X16" s="244"/>
      <c r="Y16" s="244"/>
      <c r="Z16" s="244"/>
      <c r="AA16" s="244"/>
      <c r="AB16" s="244"/>
    </row>
    <row r="17" spans="1:28" ht="13.35" customHeight="1">
      <c r="A17" s="50" t="s">
        <v>5</v>
      </c>
      <c r="B17" s="141"/>
      <c r="C17" s="80"/>
      <c r="D17" s="93"/>
      <c r="E17" s="226"/>
      <c r="F17" s="89"/>
      <c r="G17" s="81"/>
      <c r="H17" s="82"/>
      <c r="I17" s="83" t="str">
        <f t="shared" si="2"/>
        <v/>
      </c>
      <c r="J17" s="361" t="str">
        <f t="shared" si="3"/>
        <v/>
      </c>
      <c r="K17" s="200">
        <v>14</v>
      </c>
      <c r="L17" s="133">
        <f t="shared" si="4"/>
        <v>0</v>
      </c>
      <c r="M17" s="135" t="s">
        <v>5</v>
      </c>
      <c r="O17" s="244"/>
      <c r="P17" s="244"/>
      <c r="Q17" s="244"/>
      <c r="R17" s="244"/>
      <c r="S17" s="244"/>
      <c r="T17" s="244"/>
      <c r="U17" s="244"/>
      <c r="V17" s="244"/>
      <c r="W17" s="244"/>
      <c r="X17" s="244"/>
      <c r="Y17" s="244"/>
      <c r="Z17" s="244"/>
      <c r="AA17" s="244"/>
      <c r="AB17" s="244"/>
    </row>
    <row r="18" spans="1:28" ht="13.35" customHeight="1">
      <c r="A18" s="50" t="s">
        <v>5</v>
      </c>
      <c r="B18" s="141"/>
      <c r="C18" s="80"/>
      <c r="D18" s="93"/>
      <c r="E18" s="226"/>
      <c r="F18" s="89"/>
      <c r="G18" s="81"/>
      <c r="H18" s="82"/>
      <c r="I18" s="83" t="str">
        <f t="shared" si="2"/>
        <v/>
      </c>
      <c r="J18" s="361" t="str">
        <f t="shared" si="3"/>
        <v/>
      </c>
      <c r="K18" s="200">
        <v>15</v>
      </c>
      <c r="L18" s="133">
        <f t="shared" si="4"/>
        <v>0</v>
      </c>
      <c r="M18" s="135" t="s">
        <v>5</v>
      </c>
      <c r="O18" s="244"/>
      <c r="P18" s="244"/>
      <c r="Q18" s="244"/>
      <c r="R18" s="244"/>
      <c r="S18" s="244"/>
      <c r="T18" s="244"/>
      <c r="U18" s="244"/>
      <c r="V18" s="244"/>
      <c r="W18" s="244"/>
      <c r="X18" s="244"/>
      <c r="Y18" s="244"/>
      <c r="Z18" s="244"/>
      <c r="AA18" s="244"/>
      <c r="AB18" s="244"/>
    </row>
    <row r="19" spans="1:28" ht="13.35" customHeight="1">
      <c r="A19" s="50" t="s">
        <v>5</v>
      </c>
      <c r="B19" s="141"/>
      <c r="C19" s="80"/>
      <c r="D19" s="93"/>
      <c r="E19" s="226"/>
      <c r="F19" s="89"/>
      <c r="G19" s="81"/>
      <c r="H19" s="82"/>
      <c r="I19" s="83" t="str">
        <f t="shared" si="2"/>
        <v/>
      </c>
      <c r="J19" s="361" t="str">
        <f t="shared" si="3"/>
        <v/>
      </c>
      <c r="K19" s="200">
        <v>16</v>
      </c>
      <c r="L19" s="133">
        <f t="shared" si="4"/>
        <v>0</v>
      </c>
      <c r="M19" s="135" t="s">
        <v>5</v>
      </c>
      <c r="O19" s="244"/>
      <c r="P19" s="244"/>
      <c r="Q19" s="244"/>
      <c r="R19" s="244"/>
      <c r="S19" s="244"/>
      <c r="T19" s="244"/>
      <c r="U19" s="244"/>
      <c r="V19" s="244"/>
      <c r="W19" s="244"/>
      <c r="X19" s="244"/>
      <c r="Y19" s="244"/>
      <c r="Z19" s="244"/>
      <c r="AA19" s="244"/>
      <c r="AB19" s="244"/>
    </row>
    <row r="20" spans="1:28" ht="13.35" customHeight="1">
      <c r="A20" s="50" t="s">
        <v>5</v>
      </c>
      <c r="B20" s="141"/>
      <c r="C20" s="80"/>
      <c r="D20" s="93"/>
      <c r="E20" s="226"/>
      <c r="F20" s="89"/>
      <c r="G20" s="81"/>
      <c r="H20" s="82"/>
      <c r="I20" s="83" t="str">
        <f t="shared" si="2"/>
        <v/>
      </c>
      <c r="J20" s="361" t="str">
        <f t="shared" si="3"/>
        <v/>
      </c>
      <c r="K20" s="200">
        <v>17</v>
      </c>
      <c r="L20" s="133">
        <f t="shared" si="4"/>
        <v>0</v>
      </c>
      <c r="M20" s="135" t="s">
        <v>5</v>
      </c>
      <c r="O20" s="244"/>
      <c r="P20" s="244"/>
      <c r="Q20" s="244"/>
      <c r="R20" s="244"/>
      <c r="S20" s="244"/>
      <c r="T20" s="244"/>
      <c r="U20" s="244"/>
      <c r="V20" s="244"/>
      <c r="W20" s="244"/>
      <c r="X20" s="244"/>
      <c r="Y20" s="244"/>
      <c r="Z20" s="244"/>
      <c r="AA20" s="244"/>
      <c r="AB20" s="244"/>
    </row>
    <row r="21" spans="1:28" ht="13.35" customHeight="1">
      <c r="A21" s="50" t="s">
        <v>5</v>
      </c>
      <c r="B21" s="141"/>
      <c r="C21" s="80"/>
      <c r="D21" s="93"/>
      <c r="E21" s="226"/>
      <c r="F21" s="89"/>
      <c r="G21" s="81"/>
      <c r="H21" s="82"/>
      <c r="I21" s="83" t="str">
        <f t="shared" si="2"/>
        <v/>
      </c>
      <c r="J21" s="361" t="str">
        <f t="shared" si="3"/>
        <v/>
      </c>
      <c r="K21" s="200">
        <v>18</v>
      </c>
      <c r="L21" s="133">
        <f t="shared" si="4"/>
        <v>0</v>
      </c>
      <c r="M21" s="135" t="s">
        <v>5</v>
      </c>
      <c r="O21" s="244"/>
      <c r="P21" s="244"/>
      <c r="Q21" s="244"/>
      <c r="R21" s="244"/>
      <c r="S21" s="244"/>
      <c r="T21" s="244"/>
      <c r="U21" s="244"/>
      <c r="V21" s="244"/>
      <c r="W21" s="244"/>
      <c r="X21" s="244"/>
      <c r="Y21" s="244"/>
      <c r="Z21" s="244"/>
      <c r="AA21" s="244"/>
      <c r="AB21" s="244"/>
    </row>
    <row r="22" spans="1:28" ht="13.35" customHeight="1">
      <c r="A22" s="50" t="s">
        <v>5</v>
      </c>
      <c r="B22" s="141"/>
      <c r="C22" s="80"/>
      <c r="D22" s="93"/>
      <c r="E22" s="226"/>
      <c r="F22" s="89"/>
      <c r="G22" s="81"/>
      <c r="H22" s="82"/>
      <c r="I22" s="83" t="str">
        <f t="shared" si="2"/>
        <v/>
      </c>
      <c r="J22" s="361" t="str">
        <f t="shared" si="3"/>
        <v/>
      </c>
      <c r="K22" s="200">
        <v>19</v>
      </c>
      <c r="L22" s="133">
        <f t="shared" si="4"/>
        <v>0</v>
      </c>
      <c r="M22" s="135" t="s">
        <v>5</v>
      </c>
      <c r="O22" s="244"/>
      <c r="P22" s="244"/>
      <c r="Q22" s="244"/>
      <c r="R22" s="244"/>
      <c r="S22" s="244"/>
      <c r="T22" s="244"/>
      <c r="U22" s="244"/>
      <c r="V22" s="244"/>
      <c r="W22" s="244"/>
      <c r="X22" s="244"/>
      <c r="Y22" s="244"/>
      <c r="Z22" s="244"/>
      <c r="AA22" s="244"/>
      <c r="AB22" s="244"/>
    </row>
    <row r="23" spans="1:28" ht="13.35" customHeight="1">
      <c r="A23" s="50" t="s">
        <v>5</v>
      </c>
      <c r="B23" s="141"/>
      <c r="C23" s="80"/>
      <c r="D23" s="94"/>
      <c r="E23" s="226"/>
      <c r="F23" s="89"/>
      <c r="G23" s="81"/>
      <c r="H23" s="82"/>
      <c r="I23" s="83" t="str">
        <f t="shared" si="2"/>
        <v/>
      </c>
      <c r="J23" s="361" t="str">
        <f t="shared" si="3"/>
        <v/>
      </c>
      <c r="K23" s="200">
        <v>20</v>
      </c>
      <c r="L23" s="133">
        <f t="shared" si="4"/>
        <v>0</v>
      </c>
      <c r="M23" s="135" t="s">
        <v>5</v>
      </c>
      <c r="O23" s="244"/>
      <c r="P23" s="244"/>
      <c r="Q23" s="244"/>
      <c r="R23" s="244"/>
      <c r="S23" s="244"/>
      <c r="T23" s="244"/>
      <c r="U23" s="244"/>
      <c r="V23" s="244"/>
      <c r="W23" s="244"/>
      <c r="X23" s="244"/>
      <c r="Y23" s="244"/>
      <c r="Z23" s="244"/>
      <c r="AA23" s="244"/>
      <c r="AB23" s="244"/>
    </row>
    <row r="24" spans="1:28" ht="13.35" customHeight="1">
      <c r="A24" s="50" t="s">
        <v>5</v>
      </c>
      <c r="B24" s="141"/>
      <c r="C24" s="80"/>
      <c r="D24" s="93"/>
      <c r="E24" s="226"/>
      <c r="F24" s="89"/>
      <c r="G24" s="81"/>
      <c r="H24" s="82"/>
      <c r="I24" s="83" t="str">
        <f t="shared" si="2"/>
        <v/>
      </c>
      <c r="J24" s="361" t="str">
        <f t="shared" si="3"/>
        <v/>
      </c>
      <c r="K24" s="200">
        <v>21</v>
      </c>
      <c r="L24" s="133">
        <f t="shared" si="4"/>
        <v>0</v>
      </c>
      <c r="M24" s="135" t="s">
        <v>5</v>
      </c>
      <c r="O24" s="244"/>
      <c r="P24" s="244"/>
      <c r="Q24" s="244"/>
      <c r="R24" s="244"/>
      <c r="S24" s="244"/>
      <c r="T24" s="244"/>
      <c r="U24" s="244"/>
      <c r="V24" s="244"/>
      <c r="W24" s="244"/>
      <c r="X24" s="244"/>
      <c r="Y24" s="244"/>
      <c r="Z24" s="244"/>
      <c r="AA24" s="244"/>
      <c r="AB24" s="244"/>
    </row>
    <row r="25" spans="1:28" ht="13.35" customHeight="1">
      <c r="A25" s="50" t="s">
        <v>5</v>
      </c>
      <c r="B25" s="141"/>
      <c r="C25" s="80"/>
      <c r="D25" s="93"/>
      <c r="E25" s="226"/>
      <c r="F25" s="89"/>
      <c r="G25" s="81"/>
      <c r="H25" s="82"/>
      <c r="I25" s="83" t="str">
        <f t="shared" si="2"/>
        <v/>
      </c>
      <c r="J25" s="361" t="str">
        <f t="shared" si="3"/>
        <v/>
      </c>
      <c r="K25" s="200">
        <v>22</v>
      </c>
      <c r="L25" s="133">
        <f t="shared" si="4"/>
        <v>0</v>
      </c>
      <c r="M25" s="135" t="s">
        <v>5</v>
      </c>
      <c r="O25" s="244"/>
      <c r="P25" s="244"/>
      <c r="Q25" s="244"/>
      <c r="R25" s="244"/>
      <c r="S25" s="244"/>
      <c r="T25" s="244"/>
      <c r="U25" s="244"/>
      <c r="V25" s="244"/>
      <c r="W25" s="244"/>
      <c r="X25" s="244"/>
      <c r="Y25" s="244"/>
      <c r="Z25" s="244"/>
      <c r="AA25" s="244"/>
      <c r="AB25" s="244"/>
    </row>
    <row r="26" spans="1:28" ht="13.35" customHeight="1">
      <c r="A26" s="50" t="s">
        <v>5</v>
      </c>
      <c r="B26" s="141"/>
      <c r="C26" s="80"/>
      <c r="D26" s="93"/>
      <c r="E26" s="226"/>
      <c r="F26" s="89"/>
      <c r="G26" s="81"/>
      <c r="H26" s="82"/>
      <c r="I26" s="83" t="str">
        <f t="shared" si="2"/>
        <v/>
      </c>
      <c r="J26" s="361" t="str">
        <f t="shared" si="3"/>
        <v/>
      </c>
      <c r="K26" s="200">
        <v>23</v>
      </c>
      <c r="L26" s="133">
        <f t="shared" si="4"/>
        <v>0</v>
      </c>
      <c r="M26" s="135" t="s">
        <v>5</v>
      </c>
      <c r="O26" s="244"/>
      <c r="P26" s="244"/>
      <c r="Q26" s="244"/>
      <c r="R26" s="244"/>
      <c r="S26" s="244"/>
      <c r="T26" s="244"/>
      <c r="U26" s="244"/>
      <c r="V26" s="244"/>
      <c r="W26" s="244"/>
      <c r="X26" s="244"/>
      <c r="Y26" s="244"/>
      <c r="Z26" s="244"/>
      <c r="AA26" s="244"/>
      <c r="AB26" s="244"/>
    </row>
    <row r="27" spans="1:28" ht="13.35" customHeight="1">
      <c r="A27" s="50" t="s">
        <v>5</v>
      </c>
      <c r="B27" s="141"/>
      <c r="C27" s="80"/>
      <c r="D27" s="93"/>
      <c r="E27" s="226"/>
      <c r="F27" s="89"/>
      <c r="G27" s="81"/>
      <c r="H27" s="82"/>
      <c r="I27" s="83" t="str">
        <f t="shared" si="2"/>
        <v/>
      </c>
      <c r="J27" s="361" t="str">
        <f t="shared" si="3"/>
        <v/>
      </c>
      <c r="K27" s="200">
        <v>24</v>
      </c>
      <c r="L27" s="133">
        <f t="shared" si="4"/>
        <v>0</v>
      </c>
      <c r="M27" s="135" t="s">
        <v>5</v>
      </c>
      <c r="O27" s="244"/>
      <c r="P27" s="244"/>
      <c r="Q27" s="244"/>
      <c r="R27" s="244"/>
      <c r="S27" s="244"/>
      <c r="T27" s="244"/>
      <c r="U27" s="244"/>
      <c r="V27" s="244"/>
      <c r="W27" s="244"/>
      <c r="X27" s="244"/>
      <c r="Y27" s="244"/>
      <c r="Z27" s="244"/>
      <c r="AA27" s="244"/>
      <c r="AB27" s="244"/>
    </row>
    <row r="28" spans="1:28" ht="13.35" customHeight="1">
      <c r="A28" s="50" t="s">
        <v>5</v>
      </c>
      <c r="B28" s="141"/>
      <c r="C28" s="80"/>
      <c r="D28" s="93"/>
      <c r="E28" s="226"/>
      <c r="F28" s="89"/>
      <c r="G28" s="81"/>
      <c r="H28" s="82"/>
      <c r="I28" s="83" t="str">
        <f t="shared" si="2"/>
        <v/>
      </c>
      <c r="J28" s="361" t="str">
        <f t="shared" si="3"/>
        <v/>
      </c>
      <c r="K28" s="200">
        <v>25</v>
      </c>
      <c r="L28" s="133">
        <f t="shared" si="4"/>
        <v>0</v>
      </c>
      <c r="M28" s="135" t="s">
        <v>5</v>
      </c>
      <c r="O28" s="244"/>
      <c r="P28" s="244"/>
      <c r="Q28" s="244"/>
      <c r="R28" s="244"/>
      <c r="S28" s="244"/>
      <c r="T28" s="244"/>
      <c r="U28" s="244"/>
      <c r="V28" s="244"/>
      <c r="W28" s="244"/>
      <c r="X28" s="244"/>
      <c r="Y28" s="244"/>
      <c r="Z28" s="244"/>
      <c r="AA28" s="244"/>
      <c r="AB28" s="244"/>
    </row>
    <row r="29" spans="1:28" ht="13.35" customHeight="1">
      <c r="A29" s="50" t="s">
        <v>5</v>
      </c>
      <c r="B29" s="141"/>
      <c r="C29" s="80"/>
      <c r="D29" s="93"/>
      <c r="E29" s="226"/>
      <c r="F29" s="89"/>
      <c r="G29" s="81"/>
      <c r="H29" s="82"/>
      <c r="I29" s="83" t="str">
        <f t="shared" si="2"/>
        <v/>
      </c>
      <c r="J29" s="361" t="str">
        <f t="shared" si="3"/>
        <v/>
      </c>
      <c r="K29" s="200">
        <v>26</v>
      </c>
      <c r="L29" s="133">
        <f t="shared" si="4"/>
        <v>0</v>
      </c>
      <c r="M29" s="135" t="s">
        <v>5</v>
      </c>
      <c r="O29" s="244"/>
      <c r="P29" s="244"/>
      <c r="Q29" s="244"/>
      <c r="R29" s="244"/>
      <c r="S29" s="244"/>
      <c r="T29" s="244"/>
      <c r="U29" s="244"/>
      <c r="V29" s="244"/>
      <c r="W29" s="244"/>
      <c r="X29" s="244"/>
      <c r="Y29" s="244"/>
      <c r="Z29" s="244"/>
      <c r="AA29" s="244"/>
      <c r="AB29" s="244"/>
    </row>
    <row r="30" spans="1:28" ht="13.35" customHeight="1">
      <c r="A30" s="50" t="s">
        <v>5</v>
      </c>
      <c r="B30" s="141"/>
      <c r="C30" s="80"/>
      <c r="D30" s="93"/>
      <c r="E30" s="226"/>
      <c r="F30" s="89"/>
      <c r="G30" s="81"/>
      <c r="H30" s="82"/>
      <c r="I30" s="83" t="str">
        <f t="shared" si="2"/>
        <v/>
      </c>
      <c r="J30" s="361" t="str">
        <f t="shared" si="3"/>
        <v/>
      </c>
      <c r="K30" s="200">
        <v>27</v>
      </c>
      <c r="L30" s="133">
        <f t="shared" si="4"/>
        <v>0</v>
      </c>
      <c r="M30" s="135" t="s">
        <v>5</v>
      </c>
      <c r="O30" s="244"/>
      <c r="P30" s="244"/>
      <c r="Q30" s="244"/>
      <c r="R30" s="244"/>
      <c r="S30" s="244"/>
      <c r="T30" s="244"/>
      <c r="U30" s="244"/>
      <c r="V30" s="244"/>
      <c r="W30" s="244"/>
      <c r="X30" s="244"/>
      <c r="Y30" s="244"/>
      <c r="Z30" s="244"/>
      <c r="AA30" s="244"/>
      <c r="AB30" s="244"/>
    </row>
    <row r="31" spans="1:28" ht="13.35" customHeight="1">
      <c r="A31" s="50" t="s">
        <v>5</v>
      </c>
      <c r="B31" s="141"/>
      <c r="C31" s="80"/>
      <c r="D31" s="93"/>
      <c r="E31" s="226"/>
      <c r="F31" s="89"/>
      <c r="G31" s="81"/>
      <c r="H31" s="82"/>
      <c r="I31" s="83" t="str">
        <f t="shared" si="2"/>
        <v/>
      </c>
      <c r="J31" s="361" t="str">
        <f t="shared" si="3"/>
        <v/>
      </c>
      <c r="K31" s="200">
        <v>28</v>
      </c>
      <c r="L31" s="133">
        <f t="shared" si="4"/>
        <v>0</v>
      </c>
      <c r="M31" s="135" t="s">
        <v>5</v>
      </c>
      <c r="O31" s="244"/>
      <c r="P31" s="244"/>
      <c r="Q31" s="244"/>
      <c r="R31" s="244"/>
      <c r="S31" s="244"/>
      <c r="T31" s="244"/>
      <c r="U31" s="244"/>
      <c r="V31" s="244"/>
      <c r="W31" s="244"/>
      <c r="X31" s="244"/>
      <c r="Y31" s="244"/>
      <c r="Z31" s="244"/>
      <c r="AA31" s="244"/>
      <c r="AB31" s="244"/>
    </row>
    <row r="32" spans="1:28" ht="13.35" customHeight="1">
      <c r="A32" s="50" t="s">
        <v>5</v>
      </c>
      <c r="B32" s="141"/>
      <c r="C32" s="80"/>
      <c r="D32" s="93"/>
      <c r="E32" s="226"/>
      <c r="F32" s="89"/>
      <c r="G32" s="81"/>
      <c r="H32" s="82"/>
      <c r="I32" s="83" t="str">
        <f t="shared" si="2"/>
        <v/>
      </c>
      <c r="J32" s="361" t="str">
        <f t="shared" si="3"/>
        <v/>
      </c>
      <c r="K32" s="200">
        <v>29</v>
      </c>
      <c r="L32" s="133">
        <f t="shared" si="4"/>
        <v>0</v>
      </c>
      <c r="M32" s="135" t="s">
        <v>5</v>
      </c>
      <c r="O32" s="244"/>
      <c r="P32" s="244"/>
      <c r="Q32" s="244"/>
      <c r="R32" s="244"/>
      <c r="S32" s="244"/>
      <c r="T32" s="244"/>
      <c r="U32" s="244"/>
      <c r="V32" s="244"/>
      <c r="W32" s="244"/>
      <c r="X32" s="244"/>
      <c r="Y32" s="244"/>
      <c r="Z32" s="244"/>
      <c r="AA32" s="244"/>
      <c r="AB32" s="244"/>
    </row>
    <row r="33" spans="1:28" ht="13.35" customHeight="1">
      <c r="A33" s="50" t="s">
        <v>5</v>
      </c>
      <c r="B33" s="141"/>
      <c r="C33" s="80"/>
      <c r="D33" s="93"/>
      <c r="E33" s="226"/>
      <c r="F33" s="89"/>
      <c r="G33" s="81"/>
      <c r="H33" s="82"/>
      <c r="I33" s="83" t="str">
        <f t="shared" si="2"/>
        <v/>
      </c>
      <c r="J33" s="361" t="str">
        <f t="shared" si="3"/>
        <v/>
      </c>
      <c r="K33" s="200">
        <v>30</v>
      </c>
      <c r="L33" s="133">
        <f t="shared" si="4"/>
        <v>0</v>
      </c>
      <c r="M33" s="135" t="s">
        <v>5</v>
      </c>
      <c r="O33" s="244"/>
      <c r="P33" s="244"/>
      <c r="Q33" s="244"/>
      <c r="R33" s="244"/>
      <c r="S33" s="244"/>
      <c r="T33" s="244"/>
      <c r="U33" s="244"/>
      <c r="V33" s="244"/>
      <c r="W33" s="244"/>
      <c r="X33" s="244"/>
      <c r="Y33" s="244"/>
      <c r="Z33" s="244"/>
      <c r="AA33" s="244"/>
      <c r="AB33" s="244"/>
    </row>
    <row r="34" spans="1:28" ht="13.35" customHeight="1">
      <c r="A34" s="50" t="s">
        <v>5</v>
      </c>
      <c r="B34" s="141"/>
      <c r="C34" s="80"/>
      <c r="D34" s="93"/>
      <c r="E34" s="226"/>
      <c r="F34" s="89"/>
      <c r="G34" s="81"/>
      <c r="H34" s="82"/>
      <c r="I34" s="83" t="str">
        <f t="shared" si="2"/>
        <v/>
      </c>
      <c r="J34" s="361" t="str">
        <f t="shared" si="3"/>
        <v/>
      </c>
      <c r="K34" s="200">
        <v>31</v>
      </c>
      <c r="L34" s="133">
        <f t="shared" si="4"/>
        <v>0</v>
      </c>
      <c r="M34" s="135" t="s">
        <v>5</v>
      </c>
      <c r="O34" s="244"/>
      <c r="P34" s="244"/>
      <c r="Q34" s="244"/>
      <c r="R34" s="244"/>
      <c r="S34" s="244"/>
      <c r="T34" s="244"/>
      <c r="U34" s="244"/>
      <c r="V34" s="244"/>
      <c r="W34" s="244"/>
      <c r="X34" s="244"/>
      <c r="Y34" s="244"/>
      <c r="Z34" s="244"/>
      <c r="AA34" s="244"/>
      <c r="AB34" s="244"/>
    </row>
    <row r="35" spans="1:28" ht="13.35" customHeight="1">
      <c r="A35" s="50" t="s">
        <v>5</v>
      </c>
      <c r="B35" s="141"/>
      <c r="C35" s="80"/>
      <c r="D35" s="93"/>
      <c r="E35" s="226"/>
      <c r="F35" s="89"/>
      <c r="G35" s="81"/>
      <c r="H35" s="82"/>
      <c r="I35" s="83" t="str">
        <f t="shared" si="2"/>
        <v/>
      </c>
      <c r="J35" s="361" t="str">
        <f t="shared" si="3"/>
        <v/>
      </c>
      <c r="K35" s="200">
        <v>32</v>
      </c>
      <c r="L35" s="133">
        <f t="shared" si="4"/>
        <v>0</v>
      </c>
      <c r="M35" s="135" t="s">
        <v>5</v>
      </c>
      <c r="O35" s="244"/>
      <c r="P35" s="244"/>
      <c r="Q35" s="244"/>
      <c r="R35" s="244"/>
      <c r="S35" s="244"/>
      <c r="T35" s="244"/>
      <c r="U35" s="244"/>
      <c r="V35" s="244"/>
      <c r="W35" s="244"/>
      <c r="X35" s="244"/>
      <c r="Y35" s="244"/>
      <c r="Z35" s="244"/>
      <c r="AA35" s="244"/>
      <c r="AB35" s="244"/>
    </row>
    <row r="36" spans="1:28" ht="13.35" customHeight="1">
      <c r="A36" s="50" t="s">
        <v>5</v>
      </c>
      <c r="B36" s="141"/>
      <c r="C36" s="80"/>
      <c r="D36" s="93"/>
      <c r="E36" s="226"/>
      <c r="F36" s="89"/>
      <c r="G36" s="81"/>
      <c r="H36" s="82"/>
      <c r="I36" s="83" t="str">
        <f t="shared" si="2"/>
        <v/>
      </c>
      <c r="J36" s="361" t="str">
        <f t="shared" si="3"/>
        <v/>
      </c>
      <c r="K36" s="200">
        <v>33</v>
      </c>
      <c r="L36" s="133">
        <f t="shared" si="4"/>
        <v>0</v>
      </c>
      <c r="M36" s="135" t="s">
        <v>5</v>
      </c>
      <c r="O36" s="244"/>
      <c r="P36" s="244"/>
      <c r="Q36" s="244"/>
      <c r="R36" s="244"/>
      <c r="S36" s="244"/>
      <c r="T36" s="244"/>
      <c r="U36" s="244"/>
      <c r="V36" s="244"/>
      <c r="W36" s="244"/>
      <c r="X36" s="244"/>
      <c r="Y36" s="244"/>
      <c r="Z36" s="244"/>
      <c r="AA36" s="244"/>
      <c r="AB36" s="244"/>
    </row>
    <row r="37" spans="1:28" ht="13.35" customHeight="1">
      <c r="A37" s="50" t="s">
        <v>5</v>
      </c>
      <c r="B37" s="141"/>
      <c r="C37" s="80"/>
      <c r="D37" s="93"/>
      <c r="E37" s="226"/>
      <c r="F37" s="89"/>
      <c r="G37" s="81"/>
      <c r="H37" s="82"/>
      <c r="I37" s="83" t="str">
        <f t="shared" si="2"/>
        <v/>
      </c>
      <c r="J37" s="361" t="str">
        <f t="shared" si="3"/>
        <v/>
      </c>
      <c r="K37" s="200">
        <v>34</v>
      </c>
      <c r="L37" s="133">
        <f t="shared" si="4"/>
        <v>0</v>
      </c>
      <c r="M37" s="135" t="s">
        <v>5</v>
      </c>
      <c r="O37" s="244"/>
      <c r="P37" s="244"/>
      <c r="Q37" s="244"/>
      <c r="R37" s="244"/>
      <c r="S37" s="244"/>
      <c r="T37" s="244"/>
      <c r="U37" s="244"/>
      <c r="V37" s="244"/>
      <c r="W37" s="244"/>
      <c r="X37" s="244"/>
      <c r="Y37" s="244"/>
      <c r="Z37" s="244"/>
      <c r="AA37" s="244"/>
      <c r="AB37" s="244"/>
    </row>
    <row r="38" spans="1:28" ht="13.35" customHeight="1">
      <c r="A38" s="50" t="s">
        <v>5</v>
      </c>
      <c r="B38" s="141"/>
      <c r="C38" s="80"/>
      <c r="D38" s="93"/>
      <c r="E38" s="226"/>
      <c r="F38" s="89"/>
      <c r="G38" s="81"/>
      <c r="H38" s="82"/>
      <c r="I38" s="83" t="str">
        <f t="shared" si="2"/>
        <v/>
      </c>
      <c r="J38" s="361" t="str">
        <f t="shared" si="3"/>
        <v/>
      </c>
      <c r="K38" s="200">
        <v>35</v>
      </c>
      <c r="L38" s="133">
        <f t="shared" si="4"/>
        <v>0</v>
      </c>
      <c r="M38" s="135" t="s">
        <v>5</v>
      </c>
      <c r="O38" s="244"/>
      <c r="P38" s="244"/>
      <c r="Q38" s="244"/>
      <c r="R38" s="244"/>
      <c r="S38" s="244"/>
      <c r="T38" s="244"/>
      <c r="U38" s="244"/>
      <c r="V38" s="244"/>
      <c r="W38" s="244"/>
      <c r="X38" s="244"/>
      <c r="Y38" s="244"/>
      <c r="Z38" s="244"/>
      <c r="AA38" s="244"/>
      <c r="AB38" s="244"/>
    </row>
    <row r="39" spans="1:28" ht="13.35" customHeight="1">
      <c r="A39" s="50" t="s">
        <v>5</v>
      </c>
      <c r="B39" s="141"/>
      <c r="C39" s="80"/>
      <c r="D39" s="93"/>
      <c r="E39" s="226"/>
      <c r="F39" s="89"/>
      <c r="G39" s="81"/>
      <c r="H39" s="82"/>
      <c r="I39" s="83" t="str">
        <f t="shared" si="2"/>
        <v/>
      </c>
      <c r="J39" s="361" t="str">
        <f t="shared" si="3"/>
        <v/>
      </c>
      <c r="K39" s="200">
        <v>36</v>
      </c>
      <c r="L39" s="133">
        <f t="shared" si="4"/>
        <v>0</v>
      </c>
      <c r="M39" s="135" t="s">
        <v>5</v>
      </c>
      <c r="O39" s="244"/>
      <c r="P39" s="244"/>
      <c r="Q39" s="244"/>
      <c r="R39" s="244"/>
      <c r="S39" s="244"/>
      <c r="T39" s="244"/>
      <c r="U39" s="244"/>
      <c r="V39" s="244"/>
      <c r="W39" s="244"/>
      <c r="X39" s="244"/>
      <c r="Y39" s="244"/>
      <c r="Z39" s="244"/>
      <c r="AA39" s="244"/>
      <c r="AB39" s="244"/>
    </row>
    <row r="40" spans="1:28" ht="13.35" customHeight="1">
      <c r="A40" s="50" t="s">
        <v>5</v>
      </c>
      <c r="B40" s="141"/>
      <c r="C40" s="80"/>
      <c r="D40" s="93"/>
      <c r="E40" s="226"/>
      <c r="F40" s="89"/>
      <c r="G40" s="81"/>
      <c r="H40" s="82"/>
      <c r="I40" s="83" t="str">
        <f t="shared" si="2"/>
        <v/>
      </c>
      <c r="J40" s="361" t="str">
        <f t="shared" si="3"/>
        <v/>
      </c>
      <c r="K40" s="200">
        <v>37</v>
      </c>
      <c r="L40" s="133">
        <f t="shared" si="4"/>
        <v>0</v>
      </c>
      <c r="M40" s="135" t="s">
        <v>5</v>
      </c>
      <c r="O40" s="244"/>
      <c r="P40" s="244"/>
      <c r="Q40" s="244"/>
      <c r="R40" s="244"/>
      <c r="S40" s="244"/>
      <c r="T40" s="244"/>
      <c r="U40" s="244"/>
      <c r="V40" s="244"/>
      <c r="W40" s="244"/>
      <c r="X40" s="244"/>
      <c r="Y40" s="244"/>
      <c r="Z40" s="244"/>
      <c r="AA40" s="244"/>
      <c r="AB40" s="244"/>
    </row>
    <row r="41" spans="1:28" ht="13.35" customHeight="1">
      <c r="A41" s="50" t="s">
        <v>5</v>
      </c>
      <c r="B41" s="141"/>
      <c r="C41" s="80"/>
      <c r="D41" s="93"/>
      <c r="E41" s="226"/>
      <c r="F41" s="89"/>
      <c r="G41" s="81"/>
      <c r="H41" s="82"/>
      <c r="I41" s="83" t="str">
        <f t="shared" si="2"/>
        <v/>
      </c>
      <c r="J41" s="361" t="str">
        <f t="shared" si="3"/>
        <v/>
      </c>
      <c r="K41" s="200">
        <v>38</v>
      </c>
      <c r="L41" s="133">
        <f t="shared" si="4"/>
        <v>0</v>
      </c>
      <c r="M41" s="135" t="s">
        <v>5</v>
      </c>
      <c r="O41" s="244"/>
      <c r="P41" s="244"/>
      <c r="Q41" s="244"/>
      <c r="R41" s="244"/>
      <c r="S41" s="244"/>
      <c r="T41" s="244"/>
      <c r="U41" s="244"/>
      <c r="V41" s="244"/>
      <c r="W41" s="244"/>
      <c r="X41" s="244"/>
      <c r="Y41" s="244"/>
      <c r="Z41" s="244"/>
      <c r="AA41" s="244"/>
      <c r="AB41" s="244"/>
    </row>
    <row r="42" spans="1:28" ht="13.35" customHeight="1">
      <c r="A42" s="50" t="s">
        <v>5</v>
      </c>
      <c r="B42" s="141"/>
      <c r="C42" s="80"/>
      <c r="D42" s="93"/>
      <c r="E42" s="226"/>
      <c r="F42" s="89"/>
      <c r="G42" s="81"/>
      <c r="H42" s="82"/>
      <c r="I42" s="83" t="str">
        <f t="shared" si="2"/>
        <v/>
      </c>
      <c r="J42" s="361" t="str">
        <f t="shared" si="3"/>
        <v/>
      </c>
      <c r="K42" s="200">
        <v>39</v>
      </c>
      <c r="L42" s="133">
        <f t="shared" si="4"/>
        <v>0</v>
      </c>
      <c r="M42" s="135" t="s">
        <v>5</v>
      </c>
      <c r="O42" s="244"/>
      <c r="P42" s="244"/>
      <c r="Q42" s="244"/>
      <c r="R42" s="244"/>
      <c r="S42" s="244"/>
      <c r="T42" s="244"/>
      <c r="U42" s="244"/>
      <c r="V42" s="244"/>
      <c r="W42" s="244"/>
      <c r="X42" s="244"/>
      <c r="Y42" s="244"/>
      <c r="Z42" s="244"/>
      <c r="AA42" s="244"/>
      <c r="AB42" s="244"/>
    </row>
    <row r="43" spans="1:28" ht="13.35" customHeight="1">
      <c r="A43" s="50" t="s">
        <v>5</v>
      </c>
      <c r="B43" s="141"/>
      <c r="C43" s="80"/>
      <c r="D43" s="93"/>
      <c r="E43" s="226"/>
      <c r="F43" s="89"/>
      <c r="G43" s="81"/>
      <c r="H43" s="82"/>
      <c r="I43" s="83" t="str">
        <f t="shared" si="2"/>
        <v/>
      </c>
      <c r="J43" s="361" t="str">
        <f t="shared" si="3"/>
        <v/>
      </c>
      <c r="K43" s="200">
        <v>40</v>
      </c>
      <c r="L43" s="133">
        <f t="shared" si="4"/>
        <v>0</v>
      </c>
      <c r="M43" s="135" t="s">
        <v>5</v>
      </c>
      <c r="O43" s="244"/>
      <c r="P43" s="244"/>
      <c r="Q43" s="244"/>
      <c r="R43" s="244"/>
      <c r="S43" s="244"/>
      <c r="T43" s="244"/>
      <c r="U43" s="244"/>
      <c r="V43" s="244"/>
      <c r="W43" s="244"/>
      <c r="X43" s="244"/>
      <c r="Y43" s="244"/>
      <c r="Z43" s="244"/>
      <c r="AA43" s="244"/>
      <c r="AB43" s="244"/>
    </row>
    <row r="44" spans="1:28" ht="13.35" customHeight="1">
      <c r="A44" s="50" t="s">
        <v>5</v>
      </c>
      <c r="B44" s="141"/>
      <c r="C44" s="80"/>
      <c r="D44" s="93"/>
      <c r="E44" s="226"/>
      <c r="F44" s="89"/>
      <c r="G44" s="81"/>
      <c r="H44" s="82"/>
      <c r="I44" s="83" t="str">
        <f t="shared" si="2"/>
        <v/>
      </c>
      <c r="J44" s="361" t="str">
        <f t="shared" si="3"/>
        <v/>
      </c>
      <c r="K44" s="200">
        <v>41</v>
      </c>
      <c r="L44" s="133">
        <f t="shared" si="4"/>
        <v>0</v>
      </c>
      <c r="M44" s="135" t="s">
        <v>5</v>
      </c>
      <c r="O44" s="244"/>
      <c r="P44" s="244"/>
      <c r="Q44" s="244"/>
      <c r="R44" s="244"/>
      <c r="S44" s="244"/>
      <c r="T44" s="244"/>
      <c r="U44" s="244"/>
      <c r="V44" s="244"/>
      <c r="W44" s="244"/>
      <c r="X44" s="244"/>
      <c r="Y44" s="244"/>
      <c r="Z44" s="244"/>
      <c r="AA44" s="244"/>
      <c r="AB44" s="244"/>
    </row>
    <row r="45" spans="1:28" ht="13.35" customHeight="1">
      <c r="A45" s="50" t="s">
        <v>5</v>
      </c>
      <c r="B45" s="141"/>
      <c r="C45" s="80"/>
      <c r="D45" s="93"/>
      <c r="E45" s="226"/>
      <c r="F45" s="89"/>
      <c r="G45" s="81"/>
      <c r="H45" s="82"/>
      <c r="I45" s="83" t="str">
        <f t="shared" ref="I45:I46" si="7">IF(G45&lt;&gt;"",+G45-G45/(1+H45/100),"")</f>
        <v/>
      </c>
      <c r="J45" s="361" t="str">
        <f t="shared" ref="J45:J46" si="8">IF(G45&lt;&gt;0,+G45-I45,"")</f>
        <v/>
      </c>
      <c r="K45" s="200">
        <v>44</v>
      </c>
      <c r="L45" s="133">
        <f t="shared" ref="L45:L46" si="9">IF(B45&lt;$O$2,0,IF(B45&lt;$P$2,1,IF(B45&lt;$Q$2,2,IF(B45&lt;$R$2,3,IF(B45&lt;$S$2,4,IF(B45&lt;$T$2,5,IF(B45&lt;$U$2,6,IF(B45&lt;$V$2,7,IF(B45&lt;$W$2,8,IF(B45&lt;$X$2,9,IF(B45&lt;$Y$2,10,IF(B45&lt;$Z$2,11,IF(B45&lt;=$Z$3,12,0)))))))))))))</f>
        <v>0</v>
      </c>
      <c r="M45" s="135" t="s">
        <v>5</v>
      </c>
      <c r="O45" s="244"/>
      <c r="P45" s="244"/>
      <c r="Q45" s="244"/>
      <c r="R45" s="244"/>
      <c r="S45" s="244"/>
      <c r="T45" s="244"/>
      <c r="U45" s="244"/>
      <c r="V45" s="244"/>
      <c r="W45" s="244"/>
      <c r="X45" s="244"/>
      <c r="Y45" s="244"/>
      <c r="Z45" s="244"/>
      <c r="AA45" s="244"/>
      <c r="AB45" s="244"/>
    </row>
    <row r="46" spans="1:28" ht="13.35" customHeight="1" thickBot="1">
      <c r="A46" s="50" t="s">
        <v>5</v>
      </c>
      <c r="B46" s="141"/>
      <c r="C46" s="80"/>
      <c r="D46" s="93"/>
      <c r="E46" s="226"/>
      <c r="F46" s="89"/>
      <c r="G46" s="81"/>
      <c r="H46" s="82"/>
      <c r="I46" s="83" t="str">
        <f t="shared" si="7"/>
        <v/>
      </c>
      <c r="J46" s="361" t="str">
        <f t="shared" si="8"/>
        <v/>
      </c>
      <c r="K46" s="200">
        <v>45</v>
      </c>
      <c r="L46" s="133">
        <f t="shared" si="9"/>
        <v>0</v>
      </c>
      <c r="M46" s="135" t="s">
        <v>5</v>
      </c>
      <c r="O46" s="244"/>
      <c r="P46" s="244"/>
      <c r="Q46" s="244"/>
      <c r="R46" s="244"/>
      <c r="S46" s="244"/>
      <c r="T46" s="244"/>
      <c r="U46" s="244"/>
      <c r="V46" s="244"/>
      <c r="W46" s="244"/>
      <c r="X46" s="244"/>
      <c r="Y46" s="244"/>
      <c r="Z46" s="244"/>
      <c r="AA46" s="244"/>
      <c r="AB46" s="244"/>
    </row>
    <row r="47" spans="1:28" ht="12" customHeight="1" thickTop="1" thickBot="1">
      <c r="A47" s="391" t="s">
        <v>283</v>
      </c>
      <c r="B47" s="1244" t="str">
        <f>IF($A$48=0,"^ Zeile einfügen","bis hierher ziehen!")</f>
        <v>^ Zeile einfügen</v>
      </c>
      <c r="C47" s="1244"/>
      <c r="D47" s="392" t="s">
        <v>5</v>
      </c>
      <c r="E47" s="393" t="s">
        <v>5</v>
      </c>
      <c r="F47" s="394" t="s">
        <v>5</v>
      </c>
      <c r="G47" s="394"/>
      <c r="H47" s="395"/>
      <c r="I47" s="396"/>
      <c r="J47" s="425"/>
      <c r="K47" s="201">
        <v>0</v>
      </c>
      <c r="L47" s="185" t="s">
        <v>5</v>
      </c>
      <c r="M47" s="398" t="s">
        <v>283</v>
      </c>
    </row>
    <row r="48" spans="1:28" ht="12" customHeight="1" thickTop="1" thickBot="1">
      <c r="A48" s="390">
        <f>COUNTBLANK(A3:A47)+A49</f>
        <v>0</v>
      </c>
      <c r="B48" s="193" t="str">
        <f>+EÜR!C39</f>
        <v>ü</v>
      </c>
      <c r="C48" s="194" t="s">
        <v>5</v>
      </c>
      <c r="D48" s="194" t="s">
        <v>5</v>
      </c>
      <c r="E48" s="195" t="s">
        <v>5</v>
      </c>
      <c r="F48" s="196" t="s">
        <v>5</v>
      </c>
      <c r="G48" s="197">
        <f>SUBTOTAL(9,G3:G47)</f>
        <v>0</v>
      </c>
      <c r="H48" s="1242">
        <f>SUBTOTAL(9,I3:I47)</f>
        <v>0</v>
      </c>
      <c r="I48" s="1243">
        <f>SUBTOTAL(9,I3:I47)</f>
        <v>0</v>
      </c>
      <c r="J48" s="1293">
        <f>G48-H48</f>
        <v>0</v>
      </c>
      <c r="K48" s="1294"/>
      <c r="L48" s="1295"/>
      <c r="M48" s="135" t="s">
        <v>5</v>
      </c>
    </row>
    <row r="49" spans="1:14" ht="12" customHeight="1" thickTop="1" thickBot="1">
      <c r="A49" s="390">
        <f>IF(ISERROR(J47),1,0)</f>
        <v>0</v>
      </c>
      <c r="B49" s="192">
        <f>J48-G49-E49-C49</f>
        <v>0</v>
      </c>
      <c r="C49" s="1239">
        <f>SUMIF(F4:F47,"Kreditkarte",G4:G47)</f>
        <v>0</v>
      </c>
      <c r="D49" s="1239"/>
      <c r="E49" s="1240">
        <f>SUMIF(F4:F47,"Konto",G4:G47)</f>
        <v>0</v>
      </c>
      <c r="F49" s="1240"/>
      <c r="G49" s="1241">
        <f>SUMIF(F4:F47,"Geldbeutel",G4:G47)</f>
        <v>0</v>
      </c>
      <c r="H49" s="1241"/>
      <c r="I49" s="1241"/>
      <c r="J49" s="1296"/>
      <c r="K49" s="1297"/>
      <c r="L49" s="1298"/>
      <c r="M49" s="135" t="s">
        <v>5</v>
      </c>
    </row>
    <row r="50" spans="1:14" s="15" customFormat="1" ht="5.25" customHeight="1" thickTop="1">
      <c r="A50" s="36"/>
      <c r="B50" s="2"/>
      <c r="C50" s="3"/>
      <c r="D50" s="3"/>
      <c r="E50" s="1"/>
      <c r="G50" s="16"/>
      <c r="H50" s="16"/>
      <c r="I50" s="17"/>
      <c r="J50" s="18"/>
      <c r="K50" s="18"/>
      <c r="L50" s="31"/>
      <c r="N50" s="148"/>
    </row>
    <row r="51" spans="1:14">
      <c r="A51" s="36"/>
    </row>
  </sheetData>
  <sheetProtection formatCells="0" insertRows="0" deleteRows="0" selectLockedCells="1" sort="0" autoFilter="0"/>
  <mergeCells count="15">
    <mergeCell ref="C2:I2"/>
    <mergeCell ref="J2:L2"/>
    <mergeCell ref="AA9:AB9"/>
    <mergeCell ref="O10:Z10"/>
    <mergeCell ref="O11:Z11"/>
    <mergeCell ref="AA4:AB4"/>
    <mergeCell ref="AA13:AB13"/>
    <mergeCell ref="O14:Z14"/>
    <mergeCell ref="AA14:AB14"/>
    <mergeCell ref="J48:L49"/>
    <mergeCell ref="C49:D49"/>
    <mergeCell ref="E49:F49"/>
    <mergeCell ref="G49:I49"/>
    <mergeCell ref="H48:I48"/>
    <mergeCell ref="B47:C47"/>
  </mergeCells>
  <conditionalFormatting sqref="A4:A46">
    <cfRule type="expression" dxfId="746" priority="22">
      <formula>ISERROR(J4)</formula>
    </cfRule>
    <cfRule type="cellIs" dxfId="745" priority="23" operator="equal">
      <formula>""</formula>
    </cfRule>
  </conditionalFormatting>
  <conditionalFormatting sqref="A47:C47">
    <cfRule type="expression" dxfId="744" priority="7">
      <formula>$A$48&lt;&gt;0</formula>
    </cfRule>
  </conditionalFormatting>
  <conditionalFormatting sqref="B2">
    <cfRule type="expression" dxfId="743" priority="49" stopIfTrue="1">
      <formula>$B$48="x"</formula>
    </cfRule>
  </conditionalFormatting>
  <conditionalFormatting sqref="B4:B46">
    <cfRule type="cellIs" dxfId="740" priority="36" operator="equal">
      <formula>""</formula>
    </cfRule>
  </conditionalFormatting>
  <conditionalFormatting sqref="B48">
    <cfRule type="cellIs" dxfId="739" priority="72" operator="equal">
      <formula>"y"</formula>
    </cfRule>
  </conditionalFormatting>
  <conditionalFormatting sqref="B3:J3">
    <cfRule type="expression" dxfId="738" priority="10071">
      <formula>$B$48="x"</formula>
    </cfRule>
  </conditionalFormatting>
  <conditionalFormatting sqref="B4:J46">
    <cfRule type="expression" dxfId="737" priority="32">
      <formula>$B$1="x"</formula>
    </cfRule>
  </conditionalFormatting>
  <conditionalFormatting sqref="B3:L3">
    <cfRule type="expression" dxfId="736" priority="66">
      <formula>$B$48="x"</formula>
    </cfRule>
  </conditionalFormatting>
  <conditionalFormatting sqref="C4:D46">
    <cfRule type="expression" dxfId="735" priority="39">
      <formula>AND($B4&lt;&gt;"",$C4="")</formula>
    </cfRule>
  </conditionalFormatting>
  <conditionalFormatting sqref="C49:I49">
    <cfRule type="cellIs" dxfId="734" priority="71" stopIfTrue="1" operator="lessThan">
      <formula>0</formula>
    </cfRule>
    <cfRule type="cellIs" dxfId="733" priority="69" stopIfTrue="1" operator="greaterThanOrEqual">
      <formula>0</formula>
    </cfRule>
  </conditionalFormatting>
  <conditionalFormatting sqref="D47:J47">
    <cfRule type="expression" dxfId="732" priority="9">
      <formula>$A$48&lt;&gt;0</formula>
    </cfRule>
  </conditionalFormatting>
  <conditionalFormatting sqref="H4:H46">
    <cfRule type="expression" dxfId="731" priority="35">
      <formula>AND(G4&lt;&gt;"",H4="",$I$1&lt;&gt;"x")</formula>
    </cfRule>
  </conditionalFormatting>
  <conditionalFormatting sqref="H4:I46">
    <cfRule type="expression" dxfId="730" priority="33">
      <formula>AND($I4&lt;&gt;0,$I$1&lt;&gt;"ü")</formula>
    </cfRule>
    <cfRule type="expression" dxfId="729" priority="34">
      <formula>$I$1&lt;&gt;"ü"</formula>
    </cfRule>
  </conditionalFormatting>
  <conditionalFormatting sqref="J48:L48 C49:L49 C48:H48">
    <cfRule type="expression" dxfId="727" priority="68">
      <formula>$B$48="x"</formula>
    </cfRule>
  </conditionalFormatting>
  <conditionalFormatting sqref="J48:L49">
    <cfRule type="expression" dxfId="726" priority="67">
      <formula>AND($B$48="x",$J$48&lt;&gt;0)</formula>
    </cfRule>
  </conditionalFormatting>
  <conditionalFormatting sqref="K4:L46">
    <cfRule type="expression" dxfId="725" priority="16427">
      <formula>$B$48="x"</formula>
    </cfRule>
  </conditionalFormatting>
  <conditionalFormatting sqref="M3">
    <cfRule type="cellIs" dxfId="724" priority="31" operator="equal">
      <formula>""</formula>
    </cfRule>
  </conditionalFormatting>
  <conditionalFormatting sqref="M4:M46">
    <cfRule type="expression" dxfId="723" priority="29">
      <formula>ISERROR(J4)</formula>
    </cfRule>
    <cfRule type="cellIs" dxfId="722" priority="30" operator="equal">
      <formula>""</formula>
    </cfRule>
  </conditionalFormatting>
  <conditionalFormatting sqref="M47">
    <cfRule type="expression" dxfId="721" priority="8">
      <formula>$A$48&lt;&gt;0</formula>
    </cfRule>
  </conditionalFormatting>
  <conditionalFormatting sqref="M47:M49">
    <cfRule type="cellIs" dxfId="720" priority="11" operator="equal">
      <formula>""</formula>
    </cfRule>
  </conditionalFormatting>
  <conditionalFormatting sqref="N10:AB10">
    <cfRule type="expression" dxfId="719" priority="6">
      <formula>$N$2=0</formula>
    </cfRule>
  </conditionalFormatting>
  <conditionalFormatting sqref="O11:Z11">
    <cfRule type="cellIs" dxfId="718" priority="53" operator="equal">
      <formula>"Fehler!"</formula>
    </cfRule>
  </conditionalFormatting>
  <conditionalFormatting sqref="O4:AA4">
    <cfRule type="expression" dxfId="714" priority="48">
      <formula>$N$2=0</formula>
    </cfRule>
  </conditionalFormatting>
  <conditionalFormatting sqref="O2:AB3">
    <cfRule type="expression" dxfId="712" priority="1">
      <formula>$N$2=0</formula>
    </cfRule>
  </conditionalFormatting>
  <conditionalFormatting sqref="O5:AB8 O9:AA9">
    <cfRule type="expression" dxfId="711" priority="52">
      <formula>$N$2=0</formula>
    </cfRule>
  </conditionalFormatting>
  <conditionalFormatting sqref="O11:AB14">
    <cfRule type="expression" dxfId="710" priority="3">
      <formula>$N$2=0</formula>
    </cfRule>
  </conditionalFormatting>
  <conditionalFormatting sqref="O47:AB49">
    <cfRule type="expression" dxfId="709" priority="10">
      <formula>$N$2=0</formula>
    </cfRule>
  </conditionalFormatting>
  <dataValidations count="2">
    <dataValidation type="list" allowBlank="1" showInputMessage="1" showErrorMessage="1" sqref="F4:F46" xr:uid="{E7EFEB1D-5BAB-42AC-902E-428D711899C0}">
      <formula1>"Konto,Geldbeutel,Kreditkarte,x"</formula1>
    </dataValidation>
    <dataValidation type="list" allowBlank="1" showInputMessage="1" showErrorMessage="1" sqref="H4:H46" xr:uid="{C198A9CD-0AFC-4A32-A445-2EC0DE933EA0}">
      <formula1>"19,7,0,~"</formula1>
    </dataValidation>
  </dataValidations>
  <hyperlinks>
    <hyperlink ref="J2" location="'2022 EÜR'!A1" display="Menü" xr:uid="{9D02A1B0-1C91-4884-AC39-A4F3B9C6C358}"/>
    <hyperlink ref="J2:L2" location="EÜR!A1" display="EÜR" xr:uid="{3EDF6870-C9AC-4579-8068-7E3E942F5A2E}"/>
  </hyperlinks>
  <printOptions horizontalCentered="1"/>
  <pageMargins left="0" right="0" top="0" bottom="0.31496062992125984" header="0" footer="0"/>
  <pageSetup paperSize="9" orientation="portrait" r:id="rId1"/>
  <headerFooter>
    <oddFooter>&amp;L&amp;"Arial,Standard"&amp;8Datei: &amp;Z&amp;F/&amp;A&amp;C&amp;"Arial,Standard"&amp;8Seite &amp;P von &amp;N&amp;R&amp;"Arial,Standard"&amp;8Druck: &amp;D&amp;T Uhr</oddFooter>
  </headerFooter>
  <extLst>
    <ext xmlns:x14="http://schemas.microsoft.com/office/spreadsheetml/2009/9/main" uri="{78C0D931-6437-407d-A8EE-F0AAD7539E65}">
      <x14:conditionalFormattings>
        <x14:conditionalFormatting xmlns:xm="http://schemas.microsoft.com/office/excel/2006/main">
          <x14:cfRule type="cellIs" priority="37" operator="greaterThan" id="{8004570A-D9B7-4C8A-B4CF-90F64AE04090}">
            <xm:f>EÜR!$I$78</xm:f>
            <x14:dxf>
              <font>
                <b/>
                <i val="0"/>
                <color rgb="FFFFFF00"/>
              </font>
              <fill>
                <patternFill>
                  <bgColor rgb="FFC00000"/>
                </patternFill>
              </fill>
            </x14:dxf>
          </x14:cfRule>
          <x14:cfRule type="cellIs" priority="38" operator="lessThan" id="{E540F07C-C6CE-4D4C-B431-A44D34BAD185}">
            <xm:f>EÜR!$I$77</xm:f>
            <x14:dxf>
              <font>
                <b/>
                <i val="0"/>
                <color rgb="FFFFFF00"/>
              </font>
              <fill>
                <patternFill>
                  <bgColor rgb="FFC00000"/>
                </patternFill>
              </fill>
            </x14:dxf>
          </x14:cfRule>
          <xm:sqref>B4:B46</xm:sqref>
        </x14:conditionalFormatting>
        <x14:conditionalFormatting xmlns:xm="http://schemas.microsoft.com/office/excel/2006/main">
          <x14:cfRule type="expression" priority="50" id="{10CCDDE6-4068-4863-B175-FF2932A25C09}">
            <xm:f>AND(EÜR!$J$66&lt;&gt;"ü",$H$48&lt;&gt;0)</xm:f>
            <x14:dxf>
              <font>
                <b/>
                <i val="0"/>
                <color rgb="FFFFFF00"/>
              </font>
              <fill>
                <patternFill>
                  <bgColor rgb="FFFF0000"/>
                </patternFill>
              </fill>
            </x14:dxf>
          </x14:cfRule>
          <xm:sqref>H48:I48</xm:sqref>
        </x14:conditionalFormatting>
        <x14:conditionalFormatting xmlns:xm="http://schemas.microsoft.com/office/excel/2006/main">
          <x14:cfRule type="expression" priority="54" id="{3E260680-A139-4067-85B6-E1CE5A69DBB1}">
            <xm:f>AND(O13&lt;&gt;0,U!L36="!",U!L37="!")</xm:f>
            <x14:dxf>
              <font>
                <b/>
                <i val="0"/>
                <color rgb="FFFF0000"/>
              </font>
              <fill>
                <patternFill>
                  <bgColor rgb="FFFFCCCC"/>
                </patternFill>
              </fill>
            </x14:dxf>
          </x14:cfRule>
          <x14:cfRule type="expression" priority="55" id="{89623E2D-49AB-4789-866B-9A214FE9B74C}">
            <xm:f>U!L37&lt;&gt;"!"</xm:f>
            <x14:dxf>
              <font>
                <b/>
                <i val="0"/>
                <color rgb="FF006666"/>
              </font>
              <fill>
                <patternFill>
                  <bgColor theme="6" tint="0.39994506668294322"/>
                </patternFill>
              </fill>
            </x14:dxf>
          </x14:cfRule>
          <x14:cfRule type="expression" priority="56" id="{1B73CD2F-F523-4EC4-AAC6-BBE71C1A9E7A}">
            <xm:f>U!L36&lt;&gt;"!"</xm:f>
            <x14:dxf>
              <font>
                <b/>
                <i val="0"/>
                <color theme="9" tint="-0.499984740745262"/>
              </font>
              <fill>
                <patternFill>
                  <bgColor rgb="FFFFFF99"/>
                </patternFill>
              </fill>
            </x14:dxf>
          </x14:cfRule>
          <xm:sqref>O13:Z13</xm:sqref>
        </x14:conditionalFormatting>
        <x14:conditionalFormatting xmlns:xm="http://schemas.microsoft.com/office/excel/2006/main">
          <x14:cfRule type="expression" priority="2" id="{1FC01FB2-8A81-4647-813A-CDE8771EE32E}">
            <xm:f>EÜR!$J$66="-"</xm:f>
            <x14:dxf>
              <font>
                <b/>
                <i val="0"/>
                <color theme="0"/>
              </font>
              <fill>
                <patternFill>
                  <bgColor theme="0"/>
                </patternFill>
              </fill>
              <border>
                <left/>
                <right/>
                <top/>
                <bottom/>
              </border>
            </x14:dxf>
          </x14:cfRule>
          <xm:sqref>O12:AA14</xm:sqref>
        </x14:conditionalFormatting>
      </x14:conditionalFormattings>
    </ext>
  </extLst>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443D66-A376-46C7-9997-33BD28A18826}">
  <sheetPr codeName="Tabelle27">
    <tabColor theme="9" tint="0.39997558519241921"/>
    <pageSetUpPr autoPageBreaks="0"/>
  </sheetPr>
  <dimension ref="A1:AB51"/>
  <sheetViews>
    <sheetView showGridLines="0" showRowColHeaders="0" zoomScaleNormal="100" workbookViewId="0">
      <pane ySplit="3" topLeftCell="A4" activePane="bottomLeft" state="frozen"/>
      <selection activeCell="F4" sqref="F4:F46"/>
      <selection pane="bottomLeft" activeCell="A4" sqref="A4"/>
    </sheetView>
  </sheetViews>
  <sheetFormatPr baseColWidth="10" defaultColWidth="9.77734375" defaultRowHeight="12.75"/>
  <cols>
    <col min="1" max="1" width="0.77734375" style="12" customWidth="1"/>
    <col min="2" max="2" width="7.6640625" style="30" customWidth="1"/>
    <col min="3" max="3" width="21.6640625" style="24" customWidth="1"/>
    <col min="4" max="4" width="7.6640625" style="24" customWidth="1"/>
    <col min="5" max="5" width="6.6640625" style="25" customWidth="1"/>
    <col min="6" max="6" width="9.6640625" style="26" customWidth="1"/>
    <col min="7" max="7" width="9.6640625" style="27" customWidth="1"/>
    <col min="8" max="8" width="2.6640625" style="28" customWidth="1"/>
    <col min="9" max="9" width="6.6640625" style="29" customWidth="1"/>
    <col min="10" max="10" width="9.6640625" style="27" customWidth="1"/>
    <col min="11" max="11" width="2.5546875" style="27" hidden="1" customWidth="1"/>
    <col min="12" max="12" width="1.5546875" style="32" hidden="1" customWidth="1"/>
    <col min="13" max="13" width="0.77734375" style="13" customWidth="1"/>
    <col min="14" max="14" width="1.77734375" style="147" customWidth="1"/>
    <col min="15" max="26" width="8.77734375" style="13" customWidth="1"/>
    <col min="27" max="27" width="10.33203125" style="13" customWidth="1"/>
    <col min="28" max="28" width="8.33203125" style="13" customWidth="1"/>
    <col min="29" max="16384" width="9.77734375" style="13"/>
  </cols>
  <sheetData>
    <row r="1" spans="1:28" s="37" customFormat="1" ht="3" customHeight="1" thickBot="1">
      <c r="A1" s="36"/>
      <c r="B1" s="53" t="str">
        <f>+B48</f>
        <v>ü</v>
      </c>
      <c r="C1" s="54">
        <f>+C49</f>
        <v>0</v>
      </c>
      <c r="D1" s="54"/>
      <c r="E1" s="53">
        <f>+E49</f>
        <v>0</v>
      </c>
      <c r="F1" s="53"/>
      <c r="G1" s="54">
        <f>+G49</f>
        <v>0</v>
      </c>
      <c r="H1" s="53"/>
      <c r="I1" s="338" t="str">
        <f>+EÜR!J66</f>
        <v>-</v>
      </c>
      <c r="J1" s="54">
        <f>+J48</f>
        <v>0</v>
      </c>
      <c r="K1" s="198"/>
      <c r="L1" s="56"/>
      <c r="N1" s="190"/>
    </row>
    <row r="2" spans="1:28" ht="23.1" customHeight="1" thickTop="1" thickBot="1">
      <c r="A2" s="36"/>
      <c r="B2" s="296" t="str">
        <f>+EÜR!D40</f>
        <v>A19</v>
      </c>
      <c r="C2" s="1290" t="str">
        <f>+EÜR!F40</f>
        <v>Werbekosten</v>
      </c>
      <c r="D2" s="1291"/>
      <c r="E2" s="1291"/>
      <c r="F2" s="1291"/>
      <c r="G2" s="1291"/>
      <c r="H2" s="1291"/>
      <c r="I2" s="1292"/>
      <c r="J2" s="1227" t="s">
        <v>8</v>
      </c>
      <c r="K2" s="1228"/>
      <c r="L2" s="1229"/>
      <c r="M2" s="134"/>
      <c r="N2" s="190">
        <f>IF(OR(B48="x",N3=1),0,1)</f>
        <v>1</v>
      </c>
      <c r="O2" s="188">
        <f>+EOMONTH(EÜR!$I$3,-1)+1</f>
        <v>46023</v>
      </c>
      <c r="P2" s="188">
        <f t="shared" ref="P2:Z2" si="0">+O3+1</f>
        <v>46054</v>
      </c>
      <c r="Q2" s="188">
        <f t="shared" si="0"/>
        <v>46082</v>
      </c>
      <c r="R2" s="188">
        <f t="shared" si="0"/>
        <v>46113</v>
      </c>
      <c r="S2" s="188">
        <f t="shared" si="0"/>
        <v>46143</v>
      </c>
      <c r="T2" s="188">
        <f t="shared" si="0"/>
        <v>46174</v>
      </c>
      <c r="U2" s="188">
        <f t="shared" si="0"/>
        <v>46204</v>
      </c>
      <c r="V2" s="188">
        <f t="shared" si="0"/>
        <v>46235</v>
      </c>
      <c r="W2" s="188">
        <f t="shared" si="0"/>
        <v>46266</v>
      </c>
      <c r="X2" s="188">
        <f t="shared" si="0"/>
        <v>46296</v>
      </c>
      <c r="Y2" s="188">
        <f t="shared" si="0"/>
        <v>46327</v>
      </c>
      <c r="Z2" s="188">
        <f t="shared" si="0"/>
        <v>46357</v>
      </c>
      <c r="AA2" s="48"/>
    </row>
    <row r="3" spans="1:28" ht="14.25" customHeight="1" thickTop="1">
      <c r="A3" s="36" t="s">
        <v>5</v>
      </c>
      <c r="B3" s="58" t="s">
        <v>1</v>
      </c>
      <c r="C3" s="59" t="s">
        <v>6</v>
      </c>
      <c r="D3" s="60"/>
      <c r="E3" s="310" t="s">
        <v>7</v>
      </c>
      <c r="F3" s="61" t="s">
        <v>4</v>
      </c>
      <c r="G3" s="62" t="s">
        <v>31</v>
      </c>
      <c r="H3" s="63" t="s">
        <v>33</v>
      </c>
      <c r="I3" s="64" t="s">
        <v>32</v>
      </c>
      <c r="J3" s="275" t="s">
        <v>34</v>
      </c>
      <c r="K3" s="199">
        <v>0</v>
      </c>
      <c r="L3" s="65" t="s">
        <v>5</v>
      </c>
      <c r="M3" s="135" t="s">
        <v>5</v>
      </c>
      <c r="N3" s="222">
        <f>IF(SUBTOTAL(109,K3:K47)&lt;&gt;SUM(K3:K47),1,0)</f>
        <v>0</v>
      </c>
      <c r="O3" s="189">
        <f>EOMONTH(O2,0)</f>
        <v>46053</v>
      </c>
      <c r="P3" s="189">
        <f t="shared" ref="P3:Z3" si="1">EOMONTH(P2,0)</f>
        <v>46081</v>
      </c>
      <c r="Q3" s="189">
        <f t="shared" si="1"/>
        <v>46112</v>
      </c>
      <c r="R3" s="189">
        <f t="shared" si="1"/>
        <v>46142</v>
      </c>
      <c r="S3" s="189">
        <f t="shared" si="1"/>
        <v>46173</v>
      </c>
      <c r="T3" s="189">
        <f t="shared" si="1"/>
        <v>46203</v>
      </c>
      <c r="U3" s="189">
        <f t="shared" si="1"/>
        <v>46234</v>
      </c>
      <c r="V3" s="189">
        <f t="shared" si="1"/>
        <v>46265</v>
      </c>
      <c r="W3" s="189">
        <f t="shared" si="1"/>
        <v>46295</v>
      </c>
      <c r="X3" s="189">
        <f t="shared" si="1"/>
        <v>46326</v>
      </c>
      <c r="Y3" s="189">
        <f t="shared" si="1"/>
        <v>46356</v>
      </c>
      <c r="Z3" s="189">
        <f t="shared" si="1"/>
        <v>46387</v>
      </c>
      <c r="AB3" s="14"/>
    </row>
    <row r="4" spans="1:28" ht="13.35" customHeight="1">
      <c r="A4" s="50" t="s">
        <v>5</v>
      </c>
      <c r="B4" s="141"/>
      <c r="C4" s="80"/>
      <c r="D4" s="93"/>
      <c r="E4" s="226"/>
      <c r="F4" s="89"/>
      <c r="G4" s="81"/>
      <c r="H4" s="82"/>
      <c r="I4" s="83" t="str">
        <f>IF(G4&lt;&gt;"",+G4-G4/(1+H4/100),"")</f>
        <v/>
      </c>
      <c r="J4" s="361" t="str">
        <f t="shared" ref="J4:J44" si="2">IF(G4&lt;&gt;0,+G4-I4,"")</f>
        <v/>
      </c>
      <c r="K4" s="200">
        <v>1</v>
      </c>
      <c r="L4" s="133">
        <f>IF(B4&lt;$O$2,0,IF(B4&lt;$P$2,1,IF(B4&lt;$Q$2,2,IF(B4&lt;$R$2,3,IF(B4&lt;$S$2,4,IF(B4&lt;$T$2,5,IF(B4&lt;$U$2,6,IF(B4&lt;$V$2,7,IF(B4&lt;$W$2,8,IF(B4&lt;$X$2,9,IF(B4&lt;$Y$2,10,IF(B4&lt;$Z$2,11,IF(B4&lt;=$Z$3,12,0)))))))))))))</f>
        <v>0</v>
      </c>
      <c r="M4" s="135" t="s">
        <v>5</v>
      </c>
      <c r="N4" s="190">
        <f>+N10+AA12+AA16</f>
        <v>0</v>
      </c>
      <c r="O4" s="251" t="s">
        <v>36</v>
      </c>
      <c r="P4" s="251" t="s">
        <v>37</v>
      </c>
      <c r="Q4" s="251" t="s">
        <v>38</v>
      </c>
      <c r="R4" s="251" t="s">
        <v>39</v>
      </c>
      <c r="S4" s="251" t="s">
        <v>40</v>
      </c>
      <c r="T4" s="251" t="s">
        <v>41</v>
      </c>
      <c r="U4" s="251" t="s">
        <v>42</v>
      </c>
      <c r="V4" s="251" t="s">
        <v>43</v>
      </c>
      <c r="W4" s="251" t="s">
        <v>44</v>
      </c>
      <c r="X4" s="251" t="s">
        <v>45</v>
      </c>
      <c r="Y4" s="251" t="s">
        <v>46</v>
      </c>
      <c r="Z4" s="251" t="s">
        <v>47</v>
      </c>
      <c r="AA4" s="1209" t="s">
        <v>255</v>
      </c>
      <c r="AB4" s="1210"/>
    </row>
    <row r="5" spans="1:28" ht="13.35" customHeight="1">
      <c r="A5" s="50" t="s">
        <v>5</v>
      </c>
      <c r="B5" s="141"/>
      <c r="C5" s="80"/>
      <c r="D5" s="93"/>
      <c r="E5" s="226"/>
      <c r="F5" s="89"/>
      <c r="G5" s="81"/>
      <c r="H5" s="82"/>
      <c r="I5" s="83" t="str">
        <f>IF(G5&lt;&gt;"",+G5-G5/(1+H5/100),"")</f>
        <v/>
      </c>
      <c r="J5" s="361" t="str">
        <f t="shared" si="2"/>
        <v/>
      </c>
      <c r="K5" s="200">
        <v>2</v>
      </c>
      <c r="L5" s="133">
        <f t="shared" ref="L5:L44" si="3">IF(B5&lt;$O$2,0,IF(B5&lt;$P$2,1,IF(B5&lt;$Q$2,2,IF(B5&lt;$R$2,3,IF(B5&lt;$S$2,4,IF(B5&lt;$T$2,5,IF(B5&lt;$U$2,6,IF(B5&lt;$V$2,7,IF(B5&lt;$W$2,8,IF(B5&lt;$X$2,9,IF(B5&lt;$Y$2,10,IF(B5&lt;$Z$2,11,IF(B5&lt;=$Z$3,12,0)))))))))))))</f>
        <v>0</v>
      </c>
      <c r="M5" s="135" t="s">
        <v>5</v>
      </c>
      <c r="O5" s="252">
        <f>SUMIFS($G$3:$G$47,$L$3:$L$47,1,$F$3:$F$47,"Konto")</f>
        <v>0</v>
      </c>
      <c r="P5" s="252">
        <f>SUMIFS($G$3:$G$47,$L$3:$L$47,2,$F$3:$F$47,"Konto")</f>
        <v>0</v>
      </c>
      <c r="Q5" s="252">
        <f>SUMIFS($G$3:$G$47,$L$3:$L$47,3,$F$3:$F$47,"Konto")</f>
        <v>0</v>
      </c>
      <c r="R5" s="252">
        <f>SUMIFS($G$3:$G$47,$L$3:$L$47,4,$F$3:$F$47,"Konto")</f>
        <v>0</v>
      </c>
      <c r="S5" s="252">
        <f>SUMIFS($G$3:$G$47,$L$3:$L$47,5,$F$3:$F$47,"Konto")</f>
        <v>0</v>
      </c>
      <c r="T5" s="252">
        <f>SUMIFS($G$3:$G$47,$L$3:$L$47,6,$F$3:$F$47,"Konto")</f>
        <v>0</v>
      </c>
      <c r="U5" s="252">
        <f>SUMIFS($G$3:$G$47,$L$3:$L$47,7,$F$3:$F$47,"Konto")</f>
        <v>0</v>
      </c>
      <c r="V5" s="252">
        <f>SUMIFS($G$3:$G$47,$L$3:$L$47,8,$F$3:$F$47,"Konto")</f>
        <v>0</v>
      </c>
      <c r="W5" s="252">
        <f>SUMIFS($G$3:$G$47,$L$3:$L$47,9,$F$3:$F$47,"Konto")</f>
        <v>0</v>
      </c>
      <c r="X5" s="252">
        <f>SUMIFS($G$3:$G$47,$L$3:$L$47,10,$F$3:$F$47,"Konto")</f>
        <v>0</v>
      </c>
      <c r="Y5" s="252">
        <f>SUMIFS($G$3:$G$47,$L$3:$L$47,11,$F$3:$F$47,"Konto")</f>
        <v>0</v>
      </c>
      <c r="Z5" s="252">
        <f>SUMIFS($G$3:$G$47,$L$3:$L$47,12,$F$3:$F$47,"Konto")</f>
        <v>0</v>
      </c>
      <c r="AA5" s="253">
        <f>SUM(O5:Z5)</f>
        <v>0</v>
      </c>
      <c r="AB5" s="254" t="s">
        <v>140</v>
      </c>
    </row>
    <row r="6" spans="1:28" ht="13.35" customHeight="1">
      <c r="A6" s="50" t="s">
        <v>5</v>
      </c>
      <c r="B6" s="141"/>
      <c r="C6" s="80"/>
      <c r="D6" s="93"/>
      <c r="E6" s="226"/>
      <c r="F6" s="89"/>
      <c r="G6" s="81"/>
      <c r="H6" s="82"/>
      <c r="I6" s="83" t="str">
        <f>IF(G6&lt;&gt;"",+G6-G6/(1+H6/100),"")</f>
        <v/>
      </c>
      <c r="J6" s="361" t="str">
        <f t="shared" si="2"/>
        <v/>
      </c>
      <c r="K6" s="200">
        <v>3</v>
      </c>
      <c r="L6" s="133">
        <f t="shared" si="3"/>
        <v>0</v>
      </c>
      <c r="M6" s="135" t="s">
        <v>5</v>
      </c>
      <c r="N6" s="190"/>
      <c r="O6" s="252">
        <f>SUMIFS($G$3:$G$47,$L$3:$L$47,1,$F$3:$F$47,"Kreditkarte")</f>
        <v>0</v>
      </c>
      <c r="P6" s="252">
        <f>SUMIFS($G$3:$G$47,$L$3:$L$47,2,$F$3:$F$47,"Kreditkarte")</f>
        <v>0</v>
      </c>
      <c r="Q6" s="252">
        <f>SUMIFS($G$3:$G$47,$L$3:$L$47,3,$F$3:$F$47,"Kreditkarte")</f>
        <v>0</v>
      </c>
      <c r="R6" s="252">
        <f>SUMIFS($G$3:$G$47,$L$3:$L$47,4,$F$3:$F$47,"Kreditkarte")</f>
        <v>0</v>
      </c>
      <c r="S6" s="252">
        <f>SUMIFS($G$3:$G$47,$L$3:$L$47,5,$F$3:$F$47,"Kreditkarte")</f>
        <v>0</v>
      </c>
      <c r="T6" s="252">
        <f>SUMIFS($G$3:$G$47,$L$3:$L$47,6,$F$3:$F$47,"Kreditkarte")</f>
        <v>0</v>
      </c>
      <c r="U6" s="252">
        <f>SUMIFS($G$3:$G$47,$L$3:$L$47,7,$F$3:$F$47,"Kreditkarte")</f>
        <v>0</v>
      </c>
      <c r="V6" s="252">
        <f>SUMIFS($G$3:$G$47,$L$3:$L$47,8,$F$3:$F$47,"Kreditkarte")</f>
        <v>0</v>
      </c>
      <c r="W6" s="252">
        <f>SUMIFS($G$3:$G$47,$L$3:$L$47,9,$F$3:$F$47,"Kreditkarte")</f>
        <v>0</v>
      </c>
      <c r="X6" s="252">
        <f>SUMIFS($G$3:$G$47,$L$3:$L$47,10,$F$3:$F$47,"Kreditkarte")</f>
        <v>0</v>
      </c>
      <c r="Y6" s="252">
        <f>SUMIFS($G$3:$G$47,$L$3:$L$47,11,$F$3:$F$47,"Kreditkarte")</f>
        <v>0</v>
      </c>
      <c r="Z6" s="252">
        <f>SUMIFS($G$3:$G$47,$L$3:$L$47,12,$F$3:$F$47,"Kreditkarte")</f>
        <v>0</v>
      </c>
      <c r="AA6" s="255">
        <f t="shared" ref="AA6:AA8" si="4">SUM(O6:Z6)</f>
        <v>0</v>
      </c>
      <c r="AB6" s="256" t="s">
        <v>142</v>
      </c>
    </row>
    <row r="7" spans="1:28" ht="13.35" customHeight="1">
      <c r="A7" s="50" t="s">
        <v>5</v>
      </c>
      <c r="B7" s="141"/>
      <c r="C7" s="80"/>
      <c r="D7" s="93"/>
      <c r="E7" s="226"/>
      <c r="F7" s="89"/>
      <c r="G7" s="81"/>
      <c r="H7" s="82"/>
      <c r="I7" s="83" t="str">
        <f>IF(G7&lt;&gt;"",+G7-G7/(1+H7/100),"")</f>
        <v/>
      </c>
      <c r="J7" s="361" t="str">
        <f t="shared" si="2"/>
        <v/>
      </c>
      <c r="K7" s="200">
        <v>4</v>
      </c>
      <c r="L7" s="133">
        <f t="shared" si="3"/>
        <v>0</v>
      </c>
      <c r="M7" s="135" t="s">
        <v>5</v>
      </c>
      <c r="O7" s="252">
        <f>SUMIFS($G$3:$G$47,$L$3:$L$47,1,$F$3:$F$47,"Geldbeutel")</f>
        <v>0</v>
      </c>
      <c r="P7" s="252">
        <f>SUMIFS($G$3:$G$47,$L$3:$L$47,2,$F$3:$F$47,"Geldbeutel")</f>
        <v>0</v>
      </c>
      <c r="Q7" s="252">
        <f>SUMIFS($G$3:$G$47,$L$3:$L$47,3,$F$3:$F$47,"Geldbeutel")</f>
        <v>0</v>
      </c>
      <c r="R7" s="252">
        <f>SUMIFS($G$3:$G$47,$L$3:$L$47,4,$F$3:$F$47,"Geldbeutel")</f>
        <v>0</v>
      </c>
      <c r="S7" s="252">
        <f>SUMIFS($G$3:$G$47,$L$3:$L$47,5,$F$3:$F$47,"Geldbeutel")</f>
        <v>0</v>
      </c>
      <c r="T7" s="252">
        <f>SUMIFS($G$3:$G$47,$L$3:$L$47,6,$F$3:$F$47,"Geldbeutel")</f>
        <v>0</v>
      </c>
      <c r="U7" s="252">
        <f>SUMIFS($G$3:$G$47,$L$3:$L$47,7,$F$3:$F$47,"Geldbeutel")</f>
        <v>0</v>
      </c>
      <c r="V7" s="252">
        <f>SUMIFS($G$3:$G$47,$L$3:$L$47,8,$F$3:$F$47,"Geldbeutel")</f>
        <v>0</v>
      </c>
      <c r="W7" s="252">
        <f>SUMIFS($G$3:$G$47,$L$3:$L$47,9,$F$3:$F$47,"Geldbeutel")</f>
        <v>0</v>
      </c>
      <c r="X7" s="252">
        <f>SUMIFS($G$3:$G$47,$L$3:$L$47,10,$F$3:$F$47,"Geldbeutel")</f>
        <v>0</v>
      </c>
      <c r="Y7" s="252">
        <f>SUMIFS($G$3:$G$47,$L$3:$L$47,11,$F$3:$F$47,"Geldbeutel")</f>
        <v>0</v>
      </c>
      <c r="Z7" s="252">
        <f>SUMIFS($G$3:$G$47,$L$3:$L$47,12,$F$3:$F$47,"Geldbeutel")</f>
        <v>0</v>
      </c>
      <c r="AA7" s="253">
        <f t="shared" si="4"/>
        <v>0</v>
      </c>
      <c r="AB7" s="254" t="s">
        <v>139</v>
      </c>
    </row>
    <row r="8" spans="1:28" ht="13.35" customHeight="1">
      <c r="A8" s="50" t="s">
        <v>5</v>
      </c>
      <c r="B8" s="141"/>
      <c r="C8" s="80"/>
      <c r="D8" s="93"/>
      <c r="E8" s="226"/>
      <c r="F8" s="89"/>
      <c r="G8" s="81"/>
      <c r="H8" s="82"/>
      <c r="I8" s="83" t="str">
        <f t="shared" ref="I8:I14" si="5">IF(G8&lt;&gt;"",+G8-G8/(1+H8/100),"")</f>
        <v/>
      </c>
      <c r="J8" s="361" t="str">
        <f t="shared" si="2"/>
        <v/>
      </c>
      <c r="K8" s="200">
        <v>5</v>
      </c>
      <c r="L8" s="133">
        <f t="shared" si="3"/>
        <v>0</v>
      </c>
      <c r="M8" s="135" t="s">
        <v>5</v>
      </c>
      <c r="O8" s="252">
        <f>SUMIFS($G$3:$G$47,$L$3:$L$47,1,$F$3:$F$47,"X")</f>
        <v>0</v>
      </c>
      <c r="P8" s="252">
        <f>SUMIFS($G$3:$G$47,$L$3:$L$47,2,$F$3:$F$47,"X")</f>
        <v>0</v>
      </c>
      <c r="Q8" s="252">
        <f>SUMIFS($G$3:$G$47,$L$3:$L$47,3,$F$3:$F$47,"X")</f>
        <v>0</v>
      </c>
      <c r="R8" s="252">
        <f>SUMIFS($G$3:$G$47,$L$3:$L$47,4,$F$3:$F$47,"X")</f>
        <v>0</v>
      </c>
      <c r="S8" s="252">
        <f>SUMIFS($G$3:$G$47,$L$3:$L$47,5,$F$3:$F$47,"X")</f>
        <v>0</v>
      </c>
      <c r="T8" s="252">
        <f>SUMIFS($G$3:$G$47,$L$3:$L$47,6,$F$3:$F$47,"X")</f>
        <v>0</v>
      </c>
      <c r="U8" s="252">
        <f>SUMIFS($G$3:$G$47,$L$3:$L$47,7,$F$3:$F$47,"X")</f>
        <v>0</v>
      </c>
      <c r="V8" s="252">
        <f>SUMIFS($G$3:$G$47,$L$3:$L$47,8,$F$3:$F$47,"X")</f>
        <v>0</v>
      </c>
      <c r="W8" s="252">
        <f>SUMIFS($G$3:$G$47,$L$3:$L$47,9,$F$3:$F$47,"X")</f>
        <v>0</v>
      </c>
      <c r="X8" s="252">
        <f>SUMIFS($G$3:$G$47,$L$3:$L$47,10,$F$3:$F$47,"X")</f>
        <v>0</v>
      </c>
      <c r="Y8" s="252">
        <f>SUMIFS($G$3:$G$47,$L$3:$L$47,11,$F$3:$F$47,"X")</f>
        <v>0</v>
      </c>
      <c r="Z8" s="252">
        <f>SUMIFS($G$3:$G$47,$L$3:$L$47,12,$F$3:$F$47,"X")</f>
        <v>0</v>
      </c>
      <c r="AA8" s="255">
        <f t="shared" si="4"/>
        <v>0</v>
      </c>
      <c r="AB8" s="256" t="s">
        <v>192</v>
      </c>
    </row>
    <row r="9" spans="1:28" ht="13.35" customHeight="1">
      <c r="A9" s="50" t="s">
        <v>5</v>
      </c>
      <c r="B9" s="141"/>
      <c r="C9" s="80"/>
      <c r="D9" s="93"/>
      <c r="E9" s="226"/>
      <c r="F9" s="89"/>
      <c r="G9" s="81"/>
      <c r="H9" s="82"/>
      <c r="I9" s="83" t="str">
        <f t="shared" si="5"/>
        <v/>
      </c>
      <c r="J9" s="361" t="str">
        <f t="shared" si="2"/>
        <v/>
      </c>
      <c r="K9" s="200">
        <v>6</v>
      </c>
      <c r="L9" s="133">
        <f t="shared" si="3"/>
        <v>0</v>
      </c>
      <c r="M9" s="135" t="s">
        <v>5</v>
      </c>
      <c r="N9" s="191">
        <f>IF(OR(AND(AA14&lt;&gt;0,B48="x"),(O14+AA13)&lt;&gt;H48),1,0)</f>
        <v>0</v>
      </c>
      <c r="O9" s="257">
        <f>SUM(O5:O8)</f>
        <v>0</v>
      </c>
      <c r="P9" s="257">
        <f t="shared" ref="P9:Z9" si="6">SUM(P5:P8)</f>
        <v>0</v>
      </c>
      <c r="Q9" s="257">
        <f t="shared" si="6"/>
        <v>0</v>
      </c>
      <c r="R9" s="257">
        <f t="shared" si="6"/>
        <v>0</v>
      </c>
      <c r="S9" s="257">
        <f t="shared" si="6"/>
        <v>0</v>
      </c>
      <c r="T9" s="257">
        <f t="shared" si="6"/>
        <v>0</v>
      </c>
      <c r="U9" s="257">
        <f t="shared" si="6"/>
        <v>0</v>
      </c>
      <c r="V9" s="257">
        <f t="shared" si="6"/>
        <v>0</v>
      </c>
      <c r="W9" s="257">
        <f t="shared" si="6"/>
        <v>0</v>
      </c>
      <c r="X9" s="257">
        <f t="shared" si="6"/>
        <v>0</v>
      </c>
      <c r="Y9" s="257">
        <f t="shared" si="6"/>
        <v>0</v>
      </c>
      <c r="Z9" s="257">
        <f t="shared" si="6"/>
        <v>0</v>
      </c>
      <c r="AA9" s="1211" t="s">
        <v>197</v>
      </c>
      <c r="AB9" s="1212"/>
    </row>
    <row r="10" spans="1:28" ht="13.35" customHeight="1">
      <c r="A10" s="50" t="s">
        <v>5</v>
      </c>
      <c r="B10" s="141"/>
      <c r="C10" s="80"/>
      <c r="D10" s="93"/>
      <c r="E10" s="226"/>
      <c r="F10" s="89"/>
      <c r="G10" s="81"/>
      <c r="H10" s="82"/>
      <c r="I10" s="83" t="str">
        <f t="shared" si="5"/>
        <v/>
      </c>
      <c r="J10" s="361" t="str">
        <f t="shared" si="2"/>
        <v/>
      </c>
      <c r="K10" s="200">
        <v>7</v>
      </c>
      <c r="L10" s="133">
        <f t="shared" si="3"/>
        <v>0</v>
      </c>
      <c r="M10" s="135" t="s">
        <v>5</v>
      </c>
      <c r="N10" s="259">
        <f>IF(O10+AA10&lt;&gt;G48,1,0)</f>
        <v>0</v>
      </c>
      <c r="O10" s="1230">
        <f>SUM(O5:Z8)</f>
        <v>0</v>
      </c>
      <c r="P10" s="1231"/>
      <c r="Q10" s="1231"/>
      <c r="R10" s="1231"/>
      <c r="S10" s="1231"/>
      <c r="T10" s="1231"/>
      <c r="U10" s="1231"/>
      <c r="V10" s="1231"/>
      <c r="W10" s="1231"/>
      <c r="X10" s="1231"/>
      <c r="Y10" s="1231"/>
      <c r="Z10" s="1232"/>
      <c r="AA10" s="292">
        <f>+G48-AA7-AA6-AA5-AA8</f>
        <v>0</v>
      </c>
      <c r="AB10" s="293" t="s">
        <v>205</v>
      </c>
    </row>
    <row r="11" spans="1:28" ht="13.35" customHeight="1">
      <c r="A11" s="50" t="s">
        <v>5</v>
      </c>
      <c r="B11" s="141"/>
      <c r="C11" s="80"/>
      <c r="D11" s="93"/>
      <c r="E11" s="226"/>
      <c r="F11" s="89"/>
      <c r="G11" s="81"/>
      <c r="H11" s="82"/>
      <c r="I11" s="83" t="str">
        <f t="shared" si="5"/>
        <v/>
      </c>
      <c r="J11" s="361" t="str">
        <f t="shared" si="2"/>
        <v/>
      </c>
      <c r="K11" s="200">
        <v>8</v>
      </c>
      <c r="L11" s="133">
        <f t="shared" si="3"/>
        <v>0</v>
      </c>
      <c r="M11" s="135" t="s">
        <v>5</v>
      </c>
      <c r="O11" s="1219" t="str">
        <f>IF(N4&gt;0,"Fehler!","")</f>
        <v/>
      </c>
      <c r="P11" s="1219"/>
      <c r="Q11" s="1219"/>
      <c r="R11" s="1219"/>
      <c r="S11" s="1219"/>
      <c r="T11" s="1219"/>
      <c r="U11" s="1219"/>
      <c r="V11" s="1219"/>
      <c r="W11" s="1219"/>
      <c r="X11" s="1219"/>
      <c r="Y11" s="1219"/>
      <c r="Z11" s="1219"/>
    </row>
    <row r="12" spans="1:28" ht="13.35" customHeight="1">
      <c r="A12" s="50" t="s">
        <v>5</v>
      </c>
      <c r="B12" s="141"/>
      <c r="C12" s="80"/>
      <c r="D12" s="93"/>
      <c r="E12" s="226"/>
      <c r="F12" s="89"/>
      <c r="G12" s="81"/>
      <c r="H12" s="82"/>
      <c r="I12" s="83" t="str">
        <f t="shared" si="5"/>
        <v/>
      </c>
      <c r="J12" s="361" t="str">
        <f t="shared" si="2"/>
        <v/>
      </c>
      <c r="K12" s="200">
        <v>9</v>
      </c>
      <c r="L12" s="133">
        <f t="shared" si="3"/>
        <v>0</v>
      </c>
      <c r="M12" s="135" t="s">
        <v>5</v>
      </c>
      <c r="O12" s="203" t="s">
        <v>36</v>
      </c>
      <c r="P12" s="203" t="s">
        <v>37</v>
      </c>
      <c r="Q12" s="203" t="s">
        <v>38</v>
      </c>
      <c r="R12" s="203" t="s">
        <v>39</v>
      </c>
      <c r="S12" s="203" t="s">
        <v>40</v>
      </c>
      <c r="T12" s="203" t="s">
        <v>41</v>
      </c>
      <c r="U12" s="203" t="s">
        <v>42</v>
      </c>
      <c r="V12" s="203" t="s">
        <v>43</v>
      </c>
      <c r="W12" s="203" t="s">
        <v>44</v>
      </c>
      <c r="X12" s="203" t="s">
        <v>45</v>
      </c>
      <c r="Y12" s="203" t="s">
        <v>46</v>
      </c>
      <c r="Z12" s="203" t="s">
        <v>47</v>
      </c>
      <c r="AA12" s="221">
        <f>IF(O14+AA13&lt;&gt;H48,1,0)</f>
        <v>0</v>
      </c>
    </row>
    <row r="13" spans="1:28" ht="13.35" customHeight="1">
      <c r="A13" s="50" t="s">
        <v>5</v>
      </c>
      <c r="B13" s="141"/>
      <c r="C13" s="80"/>
      <c r="D13" s="93"/>
      <c r="E13" s="226"/>
      <c r="F13" s="89"/>
      <c r="G13" s="81"/>
      <c r="H13" s="82"/>
      <c r="I13" s="83" t="str">
        <f t="shared" si="5"/>
        <v/>
      </c>
      <c r="J13" s="361" t="str">
        <f t="shared" si="2"/>
        <v/>
      </c>
      <c r="K13" s="200">
        <v>10</v>
      </c>
      <c r="L13" s="133">
        <f t="shared" si="3"/>
        <v>0</v>
      </c>
      <c r="M13" s="135" t="s">
        <v>5</v>
      </c>
      <c r="O13" s="187">
        <f>SUMIF($L$3:$L$47,1,$I$3:$I$47)</f>
        <v>0</v>
      </c>
      <c r="P13" s="187">
        <f>SUMIF($L$3:$L$47,2,$I$3:$I$47)</f>
        <v>0</v>
      </c>
      <c r="Q13" s="187">
        <f>SUMIF($L$3:$L$47,3,$I$3:$I$47)</f>
        <v>0</v>
      </c>
      <c r="R13" s="187">
        <f>SUMIF($L$3:$L$47,4,$I$3:$I$47)</f>
        <v>0</v>
      </c>
      <c r="S13" s="187">
        <f>SUMIF($L$3:$L$47,5,$I$3:$I$47)</f>
        <v>0</v>
      </c>
      <c r="T13" s="187">
        <f>SUMIF($L$3:$L$47,6,$I$3:$I$47)</f>
        <v>0</v>
      </c>
      <c r="U13" s="187">
        <f>SUMIF($L$3:$L$47,7,$I$3:$I$47)</f>
        <v>0</v>
      </c>
      <c r="V13" s="187">
        <f>SUMIF($L$3:$L$47,8,$I$3:$I$47)</f>
        <v>0</v>
      </c>
      <c r="W13" s="187">
        <f>SUMIF($L$3:$L$47,9,$I$3:$I$47)</f>
        <v>0</v>
      </c>
      <c r="X13" s="187">
        <f>SUMIF($L$3:$L$47,10,$I$3:$I$47)</f>
        <v>0</v>
      </c>
      <c r="Y13" s="187">
        <f>SUMIF($L$3:$L$47,11,$I$3:$I$47)</f>
        <v>0</v>
      </c>
      <c r="Z13" s="187">
        <f>SUMIF($L$3:$L$47,12,$I$3:$I$47)</f>
        <v>0</v>
      </c>
      <c r="AA13" s="1220">
        <f>SUMIF($L$3:$L$47,0,$I$3:$I$47)</f>
        <v>0</v>
      </c>
      <c r="AB13" s="1221"/>
    </row>
    <row r="14" spans="1:28" ht="13.35" customHeight="1">
      <c r="A14" s="50" t="s">
        <v>5</v>
      </c>
      <c r="B14" s="141"/>
      <c r="C14" s="80"/>
      <c r="D14" s="93"/>
      <c r="E14" s="226"/>
      <c r="F14" s="89"/>
      <c r="G14" s="81"/>
      <c r="H14" s="82"/>
      <c r="I14" s="83" t="str">
        <f t="shared" si="5"/>
        <v/>
      </c>
      <c r="J14" s="361" t="str">
        <f t="shared" si="2"/>
        <v/>
      </c>
      <c r="K14" s="200">
        <v>11</v>
      </c>
      <c r="L14" s="133">
        <f t="shared" si="3"/>
        <v>0</v>
      </c>
      <c r="M14" s="135" t="s">
        <v>5</v>
      </c>
      <c r="O14" s="1299">
        <f>SUM(O13:Z13)</f>
        <v>0</v>
      </c>
      <c r="P14" s="1300"/>
      <c r="Q14" s="1300"/>
      <c r="R14" s="1300"/>
      <c r="S14" s="1300"/>
      <c r="T14" s="1300"/>
      <c r="U14" s="1300"/>
      <c r="V14" s="1300"/>
      <c r="W14" s="1300"/>
      <c r="X14" s="1300"/>
      <c r="Y14" s="1300"/>
      <c r="Z14" s="1301"/>
      <c r="AA14" s="1222">
        <f>SUM(O13:Z13)+AA13</f>
        <v>0</v>
      </c>
      <c r="AB14" s="1223"/>
    </row>
    <row r="15" spans="1:28" ht="13.35" customHeight="1">
      <c r="A15" s="50" t="s">
        <v>5</v>
      </c>
      <c r="B15" s="141"/>
      <c r="C15" s="260"/>
      <c r="D15" s="93"/>
      <c r="E15" s="226"/>
      <c r="F15" s="89"/>
      <c r="G15" s="81"/>
      <c r="H15" s="82"/>
      <c r="I15" s="83" t="str">
        <f t="shared" ref="I15:I44" si="7">IF(G15&lt;&gt;"",+G15-G15/(1+H15/100),"")</f>
        <v/>
      </c>
      <c r="J15" s="361" t="str">
        <f t="shared" si="2"/>
        <v/>
      </c>
      <c r="K15" s="200">
        <v>12</v>
      </c>
      <c r="L15" s="133">
        <f t="shared" si="3"/>
        <v>0</v>
      </c>
      <c r="M15" s="135" t="s">
        <v>5</v>
      </c>
      <c r="O15" s="244"/>
      <c r="P15" s="244"/>
      <c r="Q15" s="244"/>
      <c r="R15" s="244"/>
      <c r="S15" s="244"/>
      <c r="T15" s="244"/>
      <c r="U15" s="244"/>
      <c r="V15" s="244"/>
      <c r="W15" s="244"/>
      <c r="X15" s="244"/>
      <c r="Y15" s="244"/>
      <c r="Z15" s="244"/>
      <c r="AA15" s="244"/>
      <c r="AB15" s="244"/>
    </row>
    <row r="16" spans="1:28" ht="13.35" customHeight="1">
      <c r="A16" s="50" t="s">
        <v>5</v>
      </c>
      <c r="B16" s="141"/>
      <c r="C16" s="80"/>
      <c r="D16" s="93"/>
      <c r="E16" s="226"/>
      <c r="F16" s="89"/>
      <c r="G16" s="81"/>
      <c r="H16" s="82"/>
      <c r="I16" s="83" t="str">
        <f t="shared" si="7"/>
        <v/>
      </c>
      <c r="J16" s="361" t="str">
        <f t="shared" si="2"/>
        <v/>
      </c>
      <c r="K16" s="200">
        <v>13</v>
      </c>
      <c r="L16" s="133">
        <f t="shared" si="3"/>
        <v>0</v>
      </c>
      <c r="M16" s="135" t="s">
        <v>5</v>
      </c>
      <c r="O16" s="244"/>
      <c r="P16" s="244"/>
      <c r="Q16" s="244"/>
      <c r="R16" s="244"/>
      <c r="S16" s="244"/>
      <c r="T16" s="244"/>
      <c r="U16" s="244"/>
      <c r="V16" s="244"/>
      <c r="W16" s="244"/>
      <c r="X16" s="244"/>
      <c r="Y16" s="244"/>
      <c r="Z16" s="244"/>
      <c r="AA16" s="244"/>
      <c r="AB16" s="244"/>
    </row>
    <row r="17" spans="1:28" ht="13.35" customHeight="1">
      <c r="A17" s="50" t="s">
        <v>5</v>
      </c>
      <c r="B17" s="141"/>
      <c r="C17" s="80"/>
      <c r="D17" s="93"/>
      <c r="E17" s="226"/>
      <c r="F17" s="89"/>
      <c r="G17" s="81"/>
      <c r="H17" s="82"/>
      <c r="I17" s="83" t="str">
        <f t="shared" si="7"/>
        <v/>
      </c>
      <c r="J17" s="361" t="str">
        <f t="shared" si="2"/>
        <v/>
      </c>
      <c r="K17" s="200">
        <v>14</v>
      </c>
      <c r="L17" s="133">
        <f t="shared" si="3"/>
        <v>0</v>
      </c>
      <c r="M17" s="135" t="s">
        <v>5</v>
      </c>
      <c r="O17" s="244"/>
      <c r="P17" s="244"/>
      <c r="Q17" s="244"/>
      <c r="R17" s="244"/>
      <c r="S17" s="244"/>
      <c r="T17" s="244"/>
      <c r="U17" s="244"/>
      <c r="V17" s="244"/>
      <c r="W17" s="244"/>
      <c r="X17" s="244"/>
      <c r="Y17" s="244"/>
      <c r="Z17" s="244"/>
      <c r="AA17" s="244"/>
      <c r="AB17" s="244"/>
    </row>
    <row r="18" spans="1:28" ht="13.35" customHeight="1">
      <c r="A18" s="50" t="s">
        <v>5</v>
      </c>
      <c r="B18" s="141"/>
      <c r="C18" s="80"/>
      <c r="D18" s="93"/>
      <c r="E18" s="226"/>
      <c r="F18" s="89"/>
      <c r="G18" s="81"/>
      <c r="H18" s="82"/>
      <c r="I18" s="83" t="str">
        <f t="shared" si="7"/>
        <v/>
      </c>
      <c r="J18" s="361" t="str">
        <f t="shared" si="2"/>
        <v/>
      </c>
      <c r="K18" s="200">
        <v>15</v>
      </c>
      <c r="L18" s="133">
        <f t="shared" si="3"/>
        <v>0</v>
      </c>
      <c r="M18" s="135" t="s">
        <v>5</v>
      </c>
      <c r="O18" s="244"/>
      <c r="P18" s="244"/>
      <c r="Q18" s="244"/>
      <c r="R18" s="244"/>
      <c r="S18" s="244"/>
      <c r="T18" s="244"/>
      <c r="U18" s="244"/>
      <c r="V18" s="244"/>
      <c r="W18" s="244"/>
      <c r="X18" s="244"/>
      <c r="Y18" s="244"/>
      <c r="Z18" s="244"/>
      <c r="AA18" s="244"/>
      <c r="AB18" s="244"/>
    </row>
    <row r="19" spans="1:28" ht="13.35" customHeight="1">
      <c r="A19" s="50" t="s">
        <v>5</v>
      </c>
      <c r="B19" s="141"/>
      <c r="C19" s="80"/>
      <c r="D19" s="93"/>
      <c r="E19" s="226"/>
      <c r="F19" s="89"/>
      <c r="G19" s="81"/>
      <c r="H19" s="82"/>
      <c r="I19" s="83" t="str">
        <f t="shared" si="7"/>
        <v/>
      </c>
      <c r="J19" s="361" t="str">
        <f t="shared" si="2"/>
        <v/>
      </c>
      <c r="K19" s="200">
        <v>16</v>
      </c>
      <c r="L19" s="133">
        <f t="shared" si="3"/>
        <v>0</v>
      </c>
      <c r="M19" s="135" t="s">
        <v>5</v>
      </c>
      <c r="O19" s="244"/>
      <c r="P19" s="244"/>
      <c r="Q19" s="244"/>
      <c r="R19" s="244"/>
      <c r="S19" s="244"/>
      <c r="T19" s="244"/>
      <c r="U19" s="244"/>
      <c r="V19" s="244"/>
      <c r="W19" s="244"/>
      <c r="X19" s="244"/>
      <c r="Y19" s="244"/>
      <c r="Z19" s="244"/>
      <c r="AA19" s="244"/>
      <c r="AB19" s="244"/>
    </row>
    <row r="20" spans="1:28" ht="13.35" customHeight="1">
      <c r="A20" s="50" t="s">
        <v>5</v>
      </c>
      <c r="B20" s="141"/>
      <c r="C20" s="80"/>
      <c r="D20" s="93"/>
      <c r="E20" s="226"/>
      <c r="F20" s="89"/>
      <c r="G20" s="81"/>
      <c r="H20" s="82"/>
      <c r="I20" s="83" t="str">
        <f t="shared" si="7"/>
        <v/>
      </c>
      <c r="J20" s="361" t="str">
        <f t="shared" si="2"/>
        <v/>
      </c>
      <c r="K20" s="200">
        <v>17</v>
      </c>
      <c r="L20" s="133">
        <f t="shared" si="3"/>
        <v>0</v>
      </c>
      <c r="M20" s="135" t="s">
        <v>5</v>
      </c>
      <c r="O20" s="244"/>
      <c r="P20" s="244"/>
      <c r="Q20" s="244"/>
      <c r="R20" s="244"/>
      <c r="S20" s="244"/>
      <c r="T20" s="244"/>
      <c r="U20" s="244"/>
      <c r="V20" s="244"/>
      <c r="W20" s="244"/>
      <c r="X20" s="244"/>
      <c r="Y20" s="244"/>
      <c r="Z20" s="244"/>
      <c r="AA20" s="244"/>
      <c r="AB20" s="244"/>
    </row>
    <row r="21" spans="1:28" ht="13.35" customHeight="1">
      <c r="A21" s="50" t="s">
        <v>5</v>
      </c>
      <c r="B21" s="141"/>
      <c r="C21" s="80"/>
      <c r="D21" s="93"/>
      <c r="E21" s="226"/>
      <c r="F21" s="89"/>
      <c r="G21" s="81"/>
      <c r="H21" s="82"/>
      <c r="I21" s="83" t="str">
        <f t="shared" si="7"/>
        <v/>
      </c>
      <c r="J21" s="361" t="str">
        <f t="shared" si="2"/>
        <v/>
      </c>
      <c r="K21" s="200">
        <v>18</v>
      </c>
      <c r="L21" s="133">
        <f t="shared" si="3"/>
        <v>0</v>
      </c>
      <c r="M21" s="135" t="s">
        <v>5</v>
      </c>
      <c r="O21" s="244"/>
      <c r="P21" s="244"/>
      <c r="Q21" s="244"/>
      <c r="R21" s="244"/>
      <c r="S21" s="244"/>
      <c r="T21" s="244"/>
      <c r="U21" s="244"/>
      <c r="V21" s="244"/>
      <c r="W21" s="244"/>
      <c r="X21" s="244"/>
      <c r="Y21" s="244"/>
      <c r="Z21" s="244"/>
      <c r="AA21" s="244"/>
      <c r="AB21" s="244"/>
    </row>
    <row r="22" spans="1:28" ht="13.35" customHeight="1">
      <c r="A22" s="50" t="s">
        <v>5</v>
      </c>
      <c r="B22" s="141"/>
      <c r="C22" s="80"/>
      <c r="D22" s="93"/>
      <c r="E22" s="226"/>
      <c r="F22" s="89"/>
      <c r="G22" s="81"/>
      <c r="H22" s="82"/>
      <c r="I22" s="83" t="str">
        <f t="shared" si="7"/>
        <v/>
      </c>
      <c r="J22" s="361" t="str">
        <f t="shared" si="2"/>
        <v/>
      </c>
      <c r="K22" s="200">
        <v>19</v>
      </c>
      <c r="L22" s="133">
        <f t="shared" si="3"/>
        <v>0</v>
      </c>
      <c r="M22" s="135" t="s">
        <v>5</v>
      </c>
      <c r="O22" s="244"/>
      <c r="P22" s="244"/>
      <c r="Q22" s="244"/>
      <c r="R22" s="244"/>
      <c r="S22" s="244"/>
      <c r="T22" s="244"/>
      <c r="U22" s="244"/>
      <c r="V22" s="244"/>
      <c r="W22" s="244"/>
      <c r="X22" s="244"/>
      <c r="Y22" s="244"/>
      <c r="Z22" s="244"/>
      <c r="AA22" s="244"/>
      <c r="AB22" s="244"/>
    </row>
    <row r="23" spans="1:28" ht="13.35" customHeight="1">
      <c r="A23" s="50" t="s">
        <v>5</v>
      </c>
      <c r="B23" s="141"/>
      <c r="C23" s="80"/>
      <c r="D23" s="94"/>
      <c r="E23" s="226"/>
      <c r="F23" s="89"/>
      <c r="G23" s="81"/>
      <c r="H23" s="82"/>
      <c r="I23" s="83" t="str">
        <f t="shared" si="7"/>
        <v/>
      </c>
      <c r="J23" s="361" t="str">
        <f t="shared" si="2"/>
        <v/>
      </c>
      <c r="K23" s="200">
        <v>20</v>
      </c>
      <c r="L23" s="133">
        <f t="shared" si="3"/>
        <v>0</v>
      </c>
      <c r="M23" s="135" t="s">
        <v>5</v>
      </c>
      <c r="O23" s="244"/>
      <c r="P23" s="244"/>
      <c r="Q23" s="244"/>
      <c r="R23" s="244"/>
      <c r="S23" s="244"/>
      <c r="T23" s="244"/>
      <c r="U23" s="244"/>
      <c r="V23" s="244"/>
      <c r="W23" s="244"/>
      <c r="X23" s="244"/>
      <c r="Y23" s="244"/>
      <c r="Z23" s="244"/>
      <c r="AA23" s="244"/>
      <c r="AB23" s="244"/>
    </row>
    <row r="24" spans="1:28" ht="13.35" customHeight="1">
      <c r="A24" s="50" t="s">
        <v>5</v>
      </c>
      <c r="B24" s="141"/>
      <c r="C24" s="80"/>
      <c r="D24" s="93"/>
      <c r="E24" s="226"/>
      <c r="F24" s="89"/>
      <c r="G24" s="81"/>
      <c r="H24" s="82"/>
      <c r="I24" s="83" t="str">
        <f t="shared" si="7"/>
        <v/>
      </c>
      <c r="J24" s="361" t="str">
        <f t="shared" si="2"/>
        <v/>
      </c>
      <c r="K24" s="200">
        <v>21</v>
      </c>
      <c r="L24" s="133">
        <f t="shared" si="3"/>
        <v>0</v>
      </c>
      <c r="M24" s="135" t="s">
        <v>5</v>
      </c>
      <c r="O24" s="244"/>
      <c r="P24" s="244"/>
      <c r="Q24" s="244"/>
      <c r="R24" s="244"/>
      <c r="S24" s="244"/>
      <c r="T24" s="244"/>
      <c r="U24" s="244"/>
      <c r="V24" s="244"/>
      <c r="W24" s="244"/>
      <c r="X24" s="244"/>
      <c r="Y24" s="244"/>
      <c r="Z24" s="244"/>
      <c r="AA24" s="244"/>
      <c r="AB24" s="244"/>
    </row>
    <row r="25" spans="1:28" ht="13.35" customHeight="1">
      <c r="A25" s="50" t="s">
        <v>5</v>
      </c>
      <c r="B25" s="141"/>
      <c r="C25" s="80"/>
      <c r="D25" s="93"/>
      <c r="E25" s="226"/>
      <c r="F25" s="89"/>
      <c r="G25" s="81"/>
      <c r="H25" s="82"/>
      <c r="I25" s="83" t="str">
        <f t="shared" si="7"/>
        <v/>
      </c>
      <c r="J25" s="361" t="str">
        <f t="shared" si="2"/>
        <v/>
      </c>
      <c r="K25" s="200">
        <v>22</v>
      </c>
      <c r="L25" s="133">
        <f t="shared" si="3"/>
        <v>0</v>
      </c>
      <c r="M25" s="135" t="s">
        <v>5</v>
      </c>
      <c r="O25" s="244"/>
      <c r="P25" s="244"/>
      <c r="Q25" s="244"/>
      <c r="R25" s="244"/>
      <c r="S25" s="244"/>
      <c r="T25" s="244"/>
      <c r="U25" s="244"/>
      <c r="V25" s="244"/>
      <c r="W25" s="244"/>
      <c r="X25" s="244"/>
      <c r="Y25" s="244"/>
      <c r="Z25" s="244"/>
      <c r="AA25" s="244"/>
      <c r="AB25" s="244"/>
    </row>
    <row r="26" spans="1:28" ht="13.35" customHeight="1">
      <c r="A26" s="50" t="s">
        <v>5</v>
      </c>
      <c r="B26" s="141"/>
      <c r="C26" s="80"/>
      <c r="D26" s="93"/>
      <c r="E26" s="226"/>
      <c r="F26" s="89"/>
      <c r="G26" s="81"/>
      <c r="H26" s="82"/>
      <c r="I26" s="83" t="str">
        <f t="shared" si="7"/>
        <v/>
      </c>
      <c r="J26" s="361" t="str">
        <f t="shared" si="2"/>
        <v/>
      </c>
      <c r="K26" s="200">
        <v>23</v>
      </c>
      <c r="L26" s="133">
        <f t="shared" si="3"/>
        <v>0</v>
      </c>
      <c r="M26" s="135" t="s">
        <v>5</v>
      </c>
      <c r="O26" s="244"/>
      <c r="P26" s="244"/>
      <c r="Q26" s="244"/>
      <c r="R26" s="244"/>
      <c r="S26" s="244"/>
      <c r="T26" s="244"/>
      <c r="U26" s="244"/>
      <c r="V26" s="244"/>
      <c r="W26" s="244"/>
      <c r="X26" s="244"/>
      <c r="Y26" s="244"/>
      <c r="Z26" s="244"/>
      <c r="AA26" s="244"/>
      <c r="AB26" s="244"/>
    </row>
    <row r="27" spans="1:28" ht="13.35" customHeight="1">
      <c r="A27" s="50" t="s">
        <v>5</v>
      </c>
      <c r="B27" s="141"/>
      <c r="C27" s="80"/>
      <c r="D27" s="93"/>
      <c r="E27" s="226"/>
      <c r="F27" s="89"/>
      <c r="G27" s="81"/>
      <c r="H27" s="82"/>
      <c r="I27" s="83" t="str">
        <f t="shared" si="7"/>
        <v/>
      </c>
      <c r="J27" s="361" t="str">
        <f t="shared" si="2"/>
        <v/>
      </c>
      <c r="K27" s="200">
        <v>24</v>
      </c>
      <c r="L27" s="133">
        <f t="shared" si="3"/>
        <v>0</v>
      </c>
      <c r="M27" s="135" t="s">
        <v>5</v>
      </c>
      <c r="O27" s="244"/>
      <c r="P27" s="244"/>
      <c r="Q27" s="244"/>
      <c r="R27" s="244"/>
      <c r="S27" s="244"/>
      <c r="T27" s="244"/>
      <c r="U27" s="244"/>
      <c r="V27" s="244"/>
      <c r="W27" s="244"/>
      <c r="X27" s="244"/>
      <c r="Y27" s="244"/>
      <c r="Z27" s="244"/>
      <c r="AA27" s="244"/>
      <c r="AB27" s="244"/>
    </row>
    <row r="28" spans="1:28" ht="13.35" customHeight="1">
      <c r="A28" s="50" t="s">
        <v>5</v>
      </c>
      <c r="B28" s="141"/>
      <c r="C28" s="80"/>
      <c r="D28" s="93"/>
      <c r="E28" s="226"/>
      <c r="F28" s="89"/>
      <c r="G28" s="81"/>
      <c r="H28" s="82"/>
      <c r="I28" s="83" t="str">
        <f t="shared" si="7"/>
        <v/>
      </c>
      <c r="J28" s="361" t="str">
        <f t="shared" si="2"/>
        <v/>
      </c>
      <c r="K28" s="200">
        <v>25</v>
      </c>
      <c r="L28" s="133">
        <f t="shared" si="3"/>
        <v>0</v>
      </c>
      <c r="M28" s="135" t="s">
        <v>5</v>
      </c>
      <c r="O28" s="244"/>
      <c r="P28" s="244"/>
      <c r="Q28" s="244"/>
      <c r="R28" s="244"/>
      <c r="S28" s="244"/>
      <c r="T28" s="244"/>
      <c r="U28" s="244"/>
      <c r="V28" s="244"/>
      <c r="W28" s="244"/>
      <c r="X28" s="244"/>
      <c r="Y28" s="244"/>
      <c r="Z28" s="244"/>
      <c r="AA28" s="244"/>
      <c r="AB28" s="244"/>
    </row>
    <row r="29" spans="1:28" ht="13.35" customHeight="1">
      <c r="A29" s="50" t="s">
        <v>5</v>
      </c>
      <c r="B29" s="141"/>
      <c r="C29" s="80"/>
      <c r="D29" s="93"/>
      <c r="E29" s="226"/>
      <c r="F29" s="89"/>
      <c r="G29" s="81"/>
      <c r="H29" s="82"/>
      <c r="I29" s="83" t="str">
        <f t="shared" si="7"/>
        <v/>
      </c>
      <c r="J29" s="361" t="str">
        <f t="shared" si="2"/>
        <v/>
      </c>
      <c r="K29" s="200">
        <v>26</v>
      </c>
      <c r="L29" s="133">
        <f t="shared" si="3"/>
        <v>0</v>
      </c>
      <c r="M29" s="135" t="s">
        <v>5</v>
      </c>
      <c r="O29" s="244"/>
      <c r="P29" s="244"/>
      <c r="Q29" s="244"/>
      <c r="R29" s="244"/>
      <c r="S29" s="244"/>
      <c r="T29" s="244"/>
      <c r="U29" s="244"/>
      <c r="V29" s="244"/>
      <c r="W29" s="244"/>
      <c r="X29" s="244"/>
      <c r="Y29" s="244"/>
      <c r="Z29" s="244"/>
      <c r="AA29" s="244"/>
      <c r="AB29" s="244"/>
    </row>
    <row r="30" spans="1:28" ht="13.35" customHeight="1">
      <c r="A30" s="50" t="s">
        <v>5</v>
      </c>
      <c r="B30" s="141"/>
      <c r="C30" s="80"/>
      <c r="D30" s="93"/>
      <c r="E30" s="226"/>
      <c r="F30" s="89"/>
      <c r="G30" s="81"/>
      <c r="H30" s="82"/>
      <c r="I30" s="83" t="str">
        <f t="shared" si="7"/>
        <v/>
      </c>
      <c r="J30" s="361" t="str">
        <f t="shared" si="2"/>
        <v/>
      </c>
      <c r="K30" s="200">
        <v>27</v>
      </c>
      <c r="L30" s="133">
        <f t="shared" si="3"/>
        <v>0</v>
      </c>
      <c r="M30" s="135" t="s">
        <v>5</v>
      </c>
      <c r="O30" s="244"/>
      <c r="P30" s="244"/>
      <c r="Q30" s="244"/>
      <c r="R30" s="244"/>
      <c r="S30" s="244"/>
      <c r="T30" s="244"/>
      <c r="U30" s="244"/>
      <c r="V30" s="244"/>
      <c r="W30" s="244"/>
      <c r="X30" s="244"/>
      <c r="Y30" s="244"/>
      <c r="Z30" s="244"/>
      <c r="AA30" s="244"/>
      <c r="AB30" s="244"/>
    </row>
    <row r="31" spans="1:28" ht="13.35" customHeight="1">
      <c r="A31" s="50" t="s">
        <v>5</v>
      </c>
      <c r="B31" s="141"/>
      <c r="C31" s="80"/>
      <c r="D31" s="93"/>
      <c r="E31" s="226"/>
      <c r="F31" s="89"/>
      <c r="G31" s="81"/>
      <c r="H31" s="82"/>
      <c r="I31" s="83" t="str">
        <f t="shared" si="7"/>
        <v/>
      </c>
      <c r="J31" s="361" t="str">
        <f t="shared" si="2"/>
        <v/>
      </c>
      <c r="K31" s="200">
        <v>28</v>
      </c>
      <c r="L31" s="133">
        <f t="shared" si="3"/>
        <v>0</v>
      </c>
      <c r="M31" s="135" t="s">
        <v>5</v>
      </c>
      <c r="O31" s="244"/>
      <c r="P31" s="244"/>
      <c r="Q31" s="244"/>
      <c r="R31" s="244"/>
      <c r="S31" s="244"/>
      <c r="T31" s="244"/>
      <c r="U31" s="244"/>
      <c r="V31" s="244"/>
      <c r="W31" s="244"/>
      <c r="X31" s="244"/>
      <c r="Y31" s="244"/>
      <c r="Z31" s="244"/>
      <c r="AA31" s="244"/>
      <c r="AB31" s="244"/>
    </row>
    <row r="32" spans="1:28" ht="13.35" customHeight="1">
      <c r="A32" s="50" t="s">
        <v>5</v>
      </c>
      <c r="B32" s="141"/>
      <c r="C32" s="80"/>
      <c r="D32" s="93"/>
      <c r="E32" s="226"/>
      <c r="F32" s="89"/>
      <c r="G32" s="81"/>
      <c r="H32" s="82"/>
      <c r="I32" s="83" t="str">
        <f t="shared" si="7"/>
        <v/>
      </c>
      <c r="J32" s="361" t="str">
        <f t="shared" si="2"/>
        <v/>
      </c>
      <c r="K32" s="200">
        <v>29</v>
      </c>
      <c r="L32" s="133">
        <f t="shared" si="3"/>
        <v>0</v>
      </c>
      <c r="M32" s="135" t="s">
        <v>5</v>
      </c>
      <c r="O32" s="244"/>
      <c r="P32" s="244"/>
      <c r="Q32" s="244"/>
      <c r="R32" s="244"/>
      <c r="S32" s="244"/>
      <c r="T32" s="244"/>
      <c r="U32" s="244"/>
      <c r="V32" s="244"/>
      <c r="W32" s="244"/>
      <c r="X32" s="244"/>
      <c r="Y32" s="244"/>
      <c r="Z32" s="244"/>
      <c r="AA32" s="244"/>
      <c r="AB32" s="244"/>
    </row>
    <row r="33" spans="1:28" ht="13.35" customHeight="1">
      <c r="A33" s="50" t="s">
        <v>5</v>
      </c>
      <c r="B33" s="141"/>
      <c r="C33" s="80"/>
      <c r="D33" s="93"/>
      <c r="E33" s="226"/>
      <c r="F33" s="89"/>
      <c r="G33" s="81"/>
      <c r="H33" s="82"/>
      <c r="I33" s="83" t="str">
        <f t="shared" si="7"/>
        <v/>
      </c>
      <c r="J33" s="361" t="str">
        <f t="shared" si="2"/>
        <v/>
      </c>
      <c r="K33" s="200">
        <v>30</v>
      </c>
      <c r="L33" s="133">
        <f t="shared" si="3"/>
        <v>0</v>
      </c>
      <c r="M33" s="135" t="s">
        <v>5</v>
      </c>
      <c r="O33" s="244"/>
      <c r="P33" s="244"/>
      <c r="Q33" s="244"/>
      <c r="R33" s="244"/>
      <c r="S33" s="244"/>
      <c r="T33" s="244"/>
      <c r="U33" s="244"/>
      <c r="V33" s="244"/>
      <c r="W33" s="244"/>
      <c r="X33" s="244"/>
      <c r="Y33" s="244"/>
      <c r="Z33" s="244"/>
      <c r="AA33" s="244"/>
      <c r="AB33" s="244"/>
    </row>
    <row r="34" spans="1:28" ht="13.35" customHeight="1">
      <c r="A34" s="50" t="s">
        <v>5</v>
      </c>
      <c r="B34" s="141"/>
      <c r="C34" s="80"/>
      <c r="D34" s="93"/>
      <c r="E34" s="226"/>
      <c r="F34" s="89"/>
      <c r="G34" s="81"/>
      <c r="H34" s="82"/>
      <c r="I34" s="83" t="str">
        <f t="shared" si="7"/>
        <v/>
      </c>
      <c r="J34" s="361" t="str">
        <f t="shared" si="2"/>
        <v/>
      </c>
      <c r="K34" s="200">
        <v>31</v>
      </c>
      <c r="L34" s="133">
        <f t="shared" si="3"/>
        <v>0</v>
      </c>
      <c r="M34" s="135" t="s">
        <v>5</v>
      </c>
      <c r="O34" s="244"/>
      <c r="P34" s="244"/>
      <c r="Q34" s="244"/>
      <c r="R34" s="244"/>
      <c r="S34" s="244"/>
      <c r="T34" s="244"/>
      <c r="U34" s="244"/>
      <c r="V34" s="244"/>
      <c r="W34" s="244"/>
      <c r="X34" s="244"/>
      <c r="Y34" s="244"/>
      <c r="Z34" s="244"/>
      <c r="AA34" s="244"/>
      <c r="AB34" s="244"/>
    </row>
    <row r="35" spans="1:28" ht="13.35" customHeight="1">
      <c r="A35" s="50" t="s">
        <v>5</v>
      </c>
      <c r="B35" s="141"/>
      <c r="C35" s="80"/>
      <c r="D35" s="93"/>
      <c r="E35" s="226"/>
      <c r="F35" s="89"/>
      <c r="G35" s="81"/>
      <c r="H35" s="82"/>
      <c r="I35" s="83" t="str">
        <f t="shared" si="7"/>
        <v/>
      </c>
      <c r="J35" s="361" t="str">
        <f t="shared" si="2"/>
        <v/>
      </c>
      <c r="K35" s="200">
        <v>32</v>
      </c>
      <c r="L35" s="133">
        <f t="shared" si="3"/>
        <v>0</v>
      </c>
      <c r="M35" s="135" t="s">
        <v>5</v>
      </c>
      <c r="O35" s="244"/>
      <c r="P35" s="244"/>
      <c r="Q35" s="244"/>
      <c r="R35" s="244"/>
      <c r="S35" s="244"/>
      <c r="T35" s="244"/>
      <c r="U35" s="244"/>
      <c r="V35" s="244"/>
      <c r="W35" s="244"/>
      <c r="X35" s="244"/>
      <c r="Y35" s="244"/>
      <c r="Z35" s="244"/>
      <c r="AA35" s="244"/>
      <c r="AB35" s="244"/>
    </row>
    <row r="36" spans="1:28" ht="13.35" customHeight="1">
      <c r="A36" s="50" t="s">
        <v>5</v>
      </c>
      <c r="B36" s="141"/>
      <c r="C36" s="80"/>
      <c r="D36" s="93"/>
      <c r="E36" s="226"/>
      <c r="F36" s="89"/>
      <c r="G36" s="81"/>
      <c r="H36" s="82"/>
      <c r="I36" s="83" t="str">
        <f t="shared" si="7"/>
        <v/>
      </c>
      <c r="J36" s="361" t="str">
        <f t="shared" si="2"/>
        <v/>
      </c>
      <c r="K36" s="200">
        <v>33</v>
      </c>
      <c r="L36" s="133">
        <f t="shared" si="3"/>
        <v>0</v>
      </c>
      <c r="M36" s="135" t="s">
        <v>5</v>
      </c>
      <c r="O36" s="244"/>
      <c r="P36" s="244"/>
      <c r="Q36" s="244"/>
      <c r="R36" s="244"/>
      <c r="S36" s="244"/>
      <c r="T36" s="244"/>
      <c r="U36" s="244"/>
      <c r="V36" s="244"/>
      <c r="W36" s="244"/>
      <c r="X36" s="244"/>
      <c r="Y36" s="244"/>
      <c r="Z36" s="244"/>
      <c r="AA36" s="244"/>
      <c r="AB36" s="244"/>
    </row>
    <row r="37" spans="1:28" ht="13.35" customHeight="1">
      <c r="A37" s="50" t="s">
        <v>5</v>
      </c>
      <c r="B37" s="141"/>
      <c r="C37" s="80"/>
      <c r="D37" s="93"/>
      <c r="E37" s="226"/>
      <c r="F37" s="89"/>
      <c r="G37" s="81"/>
      <c r="H37" s="82"/>
      <c r="I37" s="83" t="str">
        <f t="shared" si="7"/>
        <v/>
      </c>
      <c r="J37" s="361" t="str">
        <f t="shared" si="2"/>
        <v/>
      </c>
      <c r="K37" s="200">
        <v>34</v>
      </c>
      <c r="L37" s="133">
        <f t="shared" si="3"/>
        <v>0</v>
      </c>
      <c r="M37" s="135" t="s">
        <v>5</v>
      </c>
      <c r="O37" s="244"/>
      <c r="P37" s="244"/>
      <c r="Q37" s="244"/>
      <c r="R37" s="244"/>
      <c r="S37" s="244"/>
      <c r="T37" s="244"/>
      <c r="U37" s="244"/>
      <c r="V37" s="244"/>
      <c r="W37" s="244"/>
      <c r="X37" s="244"/>
      <c r="Y37" s="244"/>
      <c r="Z37" s="244"/>
      <c r="AA37" s="244"/>
      <c r="AB37" s="244"/>
    </row>
    <row r="38" spans="1:28" ht="13.35" customHeight="1">
      <c r="A38" s="50" t="s">
        <v>5</v>
      </c>
      <c r="B38" s="141"/>
      <c r="C38" s="80"/>
      <c r="D38" s="93"/>
      <c r="E38" s="226"/>
      <c r="F38" s="89"/>
      <c r="G38" s="81"/>
      <c r="H38" s="82"/>
      <c r="I38" s="83" t="str">
        <f t="shared" si="7"/>
        <v/>
      </c>
      <c r="J38" s="361" t="str">
        <f t="shared" si="2"/>
        <v/>
      </c>
      <c r="K38" s="200">
        <v>35</v>
      </c>
      <c r="L38" s="133">
        <f t="shared" si="3"/>
        <v>0</v>
      </c>
      <c r="M38" s="135" t="s">
        <v>5</v>
      </c>
      <c r="O38" s="244"/>
      <c r="P38" s="244"/>
      <c r="Q38" s="244"/>
      <c r="R38" s="244"/>
      <c r="S38" s="244"/>
      <c r="T38" s="244"/>
      <c r="U38" s="244"/>
      <c r="V38" s="244"/>
      <c r="W38" s="244"/>
      <c r="X38" s="244"/>
      <c r="Y38" s="244"/>
      <c r="Z38" s="244"/>
      <c r="AA38" s="244"/>
      <c r="AB38" s="244"/>
    </row>
    <row r="39" spans="1:28" ht="13.35" customHeight="1">
      <c r="A39" s="50" t="s">
        <v>5</v>
      </c>
      <c r="B39" s="141"/>
      <c r="C39" s="80"/>
      <c r="D39" s="93"/>
      <c r="E39" s="226"/>
      <c r="F39" s="89"/>
      <c r="G39" s="81"/>
      <c r="H39" s="82"/>
      <c r="I39" s="83" t="str">
        <f t="shared" si="7"/>
        <v/>
      </c>
      <c r="J39" s="361" t="str">
        <f t="shared" si="2"/>
        <v/>
      </c>
      <c r="K39" s="200">
        <v>36</v>
      </c>
      <c r="L39" s="133">
        <f t="shared" si="3"/>
        <v>0</v>
      </c>
      <c r="M39" s="135" t="s">
        <v>5</v>
      </c>
      <c r="O39" s="244"/>
      <c r="P39" s="244"/>
      <c r="Q39" s="244"/>
      <c r="R39" s="244"/>
      <c r="S39" s="244"/>
      <c r="T39" s="244"/>
      <c r="U39" s="244"/>
      <c r="V39" s="244"/>
      <c r="W39" s="244"/>
      <c r="X39" s="244"/>
      <c r="Y39" s="244"/>
      <c r="Z39" s="244"/>
      <c r="AA39" s="244"/>
      <c r="AB39" s="244"/>
    </row>
    <row r="40" spans="1:28" ht="13.35" customHeight="1">
      <c r="A40" s="50" t="s">
        <v>5</v>
      </c>
      <c r="B40" s="141"/>
      <c r="C40" s="80"/>
      <c r="D40" s="93"/>
      <c r="E40" s="226"/>
      <c r="F40" s="89"/>
      <c r="G40" s="81"/>
      <c r="H40" s="82"/>
      <c r="I40" s="83" t="str">
        <f t="shared" si="7"/>
        <v/>
      </c>
      <c r="J40" s="361" t="str">
        <f t="shared" si="2"/>
        <v/>
      </c>
      <c r="K40" s="200">
        <v>37</v>
      </c>
      <c r="L40" s="133">
        <f t="shared" si="3"/>
        <v>0</v>
      </c>
      <c r="M40" s="135" t="s">
        <v>5</v>
      </c>
      <c r="O40" s="244"/>
      <c r="P40" s="244"/>
      <c r="Q40" s="244"/>
      <c r="R40" s="244"/>
      <c r="S40" s="244"/>
      <c r="T40" s="244"/>
      <c r="U40" s="244"/>
      <c r="V40" s="244"/>
      <c r="W40" s="244"/>
      <c r="X40" s="244"/>
      <c r="Y40" s="244"/>
      <c r="Z40" s="244"/>
      <c r="AA40" s="244"/>
      <c r="AB40" s="244"/>
    </row>
    <row r="41" spans="1:28" ht="13.35" customHeight="1">
      <c r="A41" s="50" t="s">
        <v>5</v>
      </c>
      <c r="B41" s="141"/>
      <c r="C41" s="80"/>
      <c r="D41" s="93"/>
      <c r="E41" s="226"/>
      <c r="F41" s="89"/>
      <c r="G41" s="81"/>
      <c r="H41" s="82"/>
      <c r="I41" s="83" t="str">
        <f t="shared" si="7"/>
        <v/>
      </c>
      <c r="J41" s="361" t="str">
        <f t="shared" si="2"/>
        <v/>
      </c>
      <c r="K41" s="200">
        <v>38</v>
      </c>
      <c r="L41" s="133">
        <f t="shared" si="3"/>
        <v>0</v>
      </c>
      <c r="M41" s="135" t="s">
        <v>5</v>
      </c>
      <c r="O41" s="244"/>
      <c r="P41" s="244"/>
      <c r="Q41" s="244"/>
      <c r="R41" s="244"/>
      <c r="S41" s="244"/>
      <c r="T41" s="244"/>
      <c r="U41" s="244"/>
      <c r="V41" s="244"/>
      <c r="W41" s="244"/>
      <c r="X41" s="244"/>
      <c r="Y41" s="244"/>
      <c r="Z41" s="244"/>
      <c r="AA41" s="244"/>
      <c r="AB41" s="244"/>
    </row>
    <row r="42" spans="1:28" ht="13.35" customHeight="1">
      <c r="A42" s="50" t="s">
        <v>5</v>
      </c>
      <c r="B42" s="141"/>
      <c r="C42" s="80"/>
      <c r="D42" s="93"/>
      <c r="E42" s="226"/>
      <c r="F42" s="89"/>
      <c r="G42" s="81"/>
      <c r="H42" s="82"/>
      <c r="I42" s="83" t="str">
        <f t="shared" si="7"/>
        <v/>
      </c>
      <c r="J42" s="361" t="str">
        <f t="shared" si="2"/>
        <v/>
      </c>
      <c r="K42" s="200">
        <v>39</v>
      </c>
      <c r="L42" s="133">
        <f t="shared" si="3"/>
        <v>0</v>
      </c>
      <c r="M42" s="135" t="s">
        <v>5</v>
      </c>
      <c r="O42" s="244"/>
      <c r="P42" s="244"/>
      <c r="Q42" s="244"/>
      <c r="R42" s="244"/>
      <c r="S42" s="244"/>
      <c r="T42" s="244"/>
      <c r="U42" s="244"/>
      <c r="V42" s="244"/>
      <c r="W42" s="244"/>
      <c r="X42" s="244"/>
      <c r="Y42" s="244"/>
      <c r="Z42" s="244"/>
      <c r="AA42" s="244"/>
      <c r="AB42" s="244"/>
    </row>
    <row r="43" spans="1:28" ht="13.35" customHeight="1">
      <c r="A43" s="50" t="s">
        <v>5</v>
      </c>
      <c r="B43" s="141"/>
      <c r="C43" s="80"/>
      <c r="D43" s="93"/>
      <c r="E43" s="226"/>
      <c r="F43" s="89"/>
      <c r="G43" s="81"/>
      <c r="H43" s="82"/>
      <c r="I43" s="83" t="str">
        <f t="shared" si="7"/>
        <v/>
      </c>
      <c r="J43" s="361" t="str">
        <f t="shared" si="2"/>
        <v/>
      </c>
      <c r="K43" s="200">
        <v>40</v>
      </c>
      <c r="L43" s="133">
        <f t="shared" si="3"/>
        <v>0</v>
      </c>
      <c r="M43" s="135" t="s">
        <v>5</v>
      </c>
      <c r="O43" s="244"/>
      <c r="P43" s="244"/>
      <c r="Q43" s="244"/>
      <c r="R43" s="244"/>
      <c r="S43" s="244"/>
      <c r="T43" s="244"/>
      <c r="U43" s="244"/>
      <c r="V43" s="244"/>
      <c r="W43" s="244"/>
      <c r="X43" s="244"/>
      <c r="Y43" s="244"/>
      <c r="Z43" s="244"/>
      <c r="AA43" s="244"/>
      <c r="AB43" s="244"/>
    </row>
    <row r="44" spans="1:28" ht="13.35" customHeight="1">
      <c r="A44" s="50" t="s">
        <v>5</v>
      </c>
      <c r="B44" s="141"/>
      <c r="C44" s="80"/>
      <c r="D44" s="93"/>
      <c r="E44" s="226"/>
      <c r="F44" s="89"/>
      <c r="G44" s="81"/>
      <c r="H44" s="82"/>
      <c r="I44" s="83" t="str">
        <f t="shared" si="7"/>
        <v/>
      </c>
      <c r="J44" s="361" t="str">
        <f t="shared" si="2"/>
        <v/>
      </c>
      <c r="K44" s="200">
        <v>41</v>
      </c>
      <c r="L44" s="133">
        <f t="shared" si="3"/>
        <v>0</v>
      </c>
      <c r="M44" s="135" t="s">
        <v>5</v>
      </c>
      <c r="O44" s="244"/>
      <c r="P44" s="244"/>
      <c r="Q44" s="244"/>
      <c r="R44" s="244"/>
      <c r="S44" s="244"/>
      <c r="T44" s="244"/>
      <c r="U44" s="244"/>
      <c r="V44" s="244"/>
      <c r="W44" s="244"/>
      <c r="X44" s="244"/>
      <c r="Y44" s="244"/>
      <c r="Z44" s="244"/>
      <c r="AA44" s="244"/>
      <c r="AB44" s="244"/>
    </row>
    <row r="45" spans="1:28" ht="13.35" customHeight="1">
      <c r="A45" s="50" t="s">
        <v>5</v>
      </c>
      <c r="B45" s="141"/>
      <c r="C45" s="80"/>
      <c r="D45" s="93"/>
      <c r="E45" s="226"/>
      <c r="F45" s="89"/>
      <c r="G45" s="81"/>
      <c r="H45" s="82"/>
      <c r="I45" s="83" t="str">
        <f t="shared" ref="I45:I46" si="8">IF(G45&lt;&gt;"",+G45-G45/(1+H45/100),"")</f>
        <v/>
      </c>
      <c r="J45" s="361" t="str">
        <f t="shared" ref="J45:J46" si="9">IF(G45&lt;&gt;0,+G45-I45,"")</f>
        <v/>
      </c>
      <c r="K45" s="200">
        <v>44</v>
      </c>
      <c r="L45" s="133">
        <f t="shared" ref="L45:L46" si="10">IF(B45&lt;$O$2,0,IF(B45&lt;$P$2,1,IF(B45&lt;$Q$2,2,IF(B45&lt;$R$2,3,IF(B45&lt;$S$2,4,IF(B45&lt;$T$2,5,IF(B45&lt;$U$2,6,IF(B45&lt;$V$2,7,IF(B45&lt;$W$2,8,IF(B45&lt;$X$2,9,IF(B45&lt;$Y$2,10,IF(B45&lt;$Z$2,11,IF(B45&lt;=$Z$3,12,0)))))))))))))</f>
        <v>0</v>
      </c>
      <c r="M45" s="135" t="s">
        <v>5</v>
      </c>
      <c r="O45" s="244"/>
      <c r="P45" s="244"/>
      <c r="Q45" s="244"/>
      <c r="R45" s="244"/>
      <c r="S45" s="244"/>
      <c r="T45" s="244"/>
      <c r="U45" s="244"/>
      <c r="V45" s="244"/>
      <c r="W45" s="244"/>
      <c r="X45" s="244"/>
      <c r="Y45" s="244"/>
      <c r="Z45" s="244"/>
      <c r="AA45" s="244"/>
      <c r="AB45" s="244"/>
    </row>
    <row r="46" spans="1:28" ht="13.35" customHeight="1" thickBot="1">
      <c r="A46" s="50" t="s">
        <v>5</v>
      </c>
      <c r="B46" s="141"/>
      <c r="C46" s="80"/>
      <c r="D46" s="93"/>
      <c r="E46" s="226"/>
      <c r="F46" s="89"/>
      <c r="G46" s="81"/>
      <c r="H46" s="82"/>
      <c r="I46" s="83" t="str">
        <f t="shared" si="8"/>
        <v/>
      </c>
      <c r="J46" s="361" t="str">
        <f t="shared" si="9"/>
        <v/>
      </c>
      <c r="K46" s="200">
        <v>45</v>
      </c>
      <c r="L46" s="133">
        <f t="shared" si="10"/>
        <v>0</v>
      </c>
      <c r="M46" s="135" t="s">
        <v>5</v>
      </c>
      <c r="O46" s="244"/>
      <c r="P46" s="244"/>
      <c r="Q46" s="244"/>
      <c r="R46" s="244"/>
      <c r="S46" s="244"/>
      <c r="T46" s="244"/>
      <c r="U46" s="244"/>
      <c r="V46" s="244"/>
      <c r="W46" s="244"/>
      <c r="X46" s="244"/>
      <c r="Y46" s="244"/>
      <c r="Z46" s="244"/>
      <c r="AA46" s="244"/>
      <c r="AB46" s="244"/>
    </row>
    <row r="47" spans="1:28" ht="12" customHeight="1" thickTop="1" thickBot="1">
      <c r="A47" s="391" t="s">
        <v>283</v>
      </c>
      <c r="B47" s="1244" t="str">
        <f>IF($A$48=0,"^ Zeile einfügen","bis hierher ziehen!")</f>
        <v>^ Zeile einfügen</v>
      </c>
      <c r="C47" s="1244"/>
      <c r="D47" s="392" t="s">
        <v>5</v>
      </c>
      <c r="E47" s="393" t="s">
        <v>5</v>
      </c>
      <c r="F47" s="394" t="s">
        <v>5</v>
      </c>
      <c r="G47" s="394"/>
      <c r="H47" s="395"/>
      <c r="I47" s="396"/>
      <c r="J47" s="425"/>
      <c r="K47" s="201">
        <v>0</v>
      </c>
      <c r="L47" s="185" t="s">
        <v>5</v>
      </c>
      <c r="M47" s="398" t="s">
        <v>283</v>
      </c>
    </row>
    <row r="48" spans="1:28" ht="12" customHeight="1" thickTop="1" thickBot="1">
      <c r="A48" s="390">
        <f>COUNTBLANK(A3:A47)+A49</f>
        <v>0</v>
      </c>
      <c r="B48" s="193" t="str">
        <f>+EÜR!C40</f>
        <v>ü</v>
      </c>
      <c r="C48" s="194" t="s">
        <v>5</v>
      </c>
      <c r="D48" s="194" t="s">
        <v>5</v>
      </c>
      <c r="E48" s="195" t="s">
        <v>5</v>
      </c>
      <c r="F48" s="196" t="s">
        <v>5</v>
      </c>
      <c r="G48" s="197">
        <f>SUBTOTAL(9,G3:G47)</f>
        <v>0</v>
      </c>
      <c r="H48" s="1242">
        <f>SUBTOTAL(9,I3:I47)</f>
        <v>0</v>
      </c>
      <c r="I48" s="1243">
        <f>SUBTOTAL(9,I3:I47)</f>
        <v>0</v>
      </c>
      <c r="J48" s="1293">
        <f>G48-H48</f>
        <v>0</v>
      </c>
      <c r="K48" s="1294"/>
      <c r="L48" s="1295"/>
      <c r="M48" s="135" t="s">
        <v>5</v>
      </c>
    </row>
    <row r="49" spans="1:14" ht="12" customHeight="1" thickTop="1" thickBot="1">
      <c r="A49" s="390">
        <f>IF(ISERROR(J47),1,0)</f>
        <v>0</v>
      </c>
      <c r="B49" s="192">
        <f>J48-G49-E49-C49</f>
        <v>0</v>
      </c>
      <c r="C49" s="1239">
        <f>SUMIF(F4:F47,"Kreditkarte",G4:G47)</f>
        <v>0</v>
      </c>
      <c r="D49" s="1239"/>
      <c r="E49" s="1240">
        <f>SUMIF(F4:F47,"Konto",G4:G47)</f>
        <v>0</v>
      </c>
      <c r="F49" s="1240"/>
      <c r="G49" s="1241">
        <f>SUMIF(F4:F47,"Geldbeutel",G4:G47)</f>
        <v>0</v>
      </c>
      <c r="H49" s="1241"/>
      <c r="I49" s="1241"/>
      <c r="J49" s="1296"/>
      <c r="K49" s="1297"/>
      <c r="L49" s="1298"/>
      <c r="M49" s="135" t="s">
        <v>5</v>
      </c>
    </row>
    <row r="50" spans="1:14" s="15" customFormat="1" ht="5.25" customHeight="1" thickTop="1">
      <c r="A50" s="36"/>
      <c r="B50" s="2"/>
      <c r="C50" s="3"/>
      <c r="D50" s="3"/>
      <c r="E50" s="1"/>
      <c r="G50" s="16"/>
      <c r="H50" s="16"/>
      <c r="I50" s="17"/>
      <c r="J50" s="18"/>
      <c r="K50" s="18"/>
      <c r="L50" s="31"/>
      <c r="N50" s="148"/>
    </row>
    <row r="51" spans="1:14">
      <c r="A51" s="36"/>
    </row>
  </sheetData>
  <sheetProtection formatCells="0" insertRows="0" deleteRows="0" selectLockedCells="1" sort="0" autoFilter="0"/>
  <sortState xmlns:xlrd2="http://schemas.microsoft.com/office/spreadsheetml/2017/richdata2" ref="B4:I14">
    <sortCondition ref="B4:B14"/>
  </sortState>
  <mergeCells count="15">
    <mergeCell ref="C2:I2"/>
    <mergeCell ref="J2:L2"/>
    <mergeCell ref="AA9:AB9"/>
    <mergeCell ref="O10:Z10"/>
    <mergeCell ref="O11:Z11"/>
    <mergeCell ref="AA4:AB4"/>
    <mergeCell ref="AA13:AB13"/>
    <mergeCell ref="O14:Z14"/>
    <mergeCell ref="AA14:AB14"/>
    <mergeCell ref="J48:L49"/>
    <mergeCell ref="C49:D49"/>
    <mergeCell ref="E49:F49"/>
    <mergeCell ref="G49:I49"/>
    <mergeCell ref="H48:I48"/>
    <mergeCell ref="B47:C47"/>
  </mergeCells>
  <conditionalFormatting sqref="A4:A46">
    <cfRule type="expression" dxfId="708" priority="25">
      <formula>ISERROR(J4)</formula>
    </cfRule>
    <cfRule type="cellIs" dxfId="707" priority="26" operator="equal">
      <formula>""</formula>
    </cfRule>
  </conditionalFormatting>
  <conditionalFormatting sqref="A47:C47">
    <cfRule type="expression" dxfId="706" priority="10">
      <formula>$A$48&lt;&gt;0</formula>
    </cfRule>
  </conditionalFormatting>
  <conditionalFormatting sqref="B2">
    <cfRule type="expression" dxfId="705" priority="52" stopIfTrue="1">
      <formula>$B$48="x"</formula>
    </cfRule>
  </conditionalFormatting>
  <conditionalFormatting sqref="B4:B46">
    <cfRule type="cellIs" dxfId="704" priority="39" operator="equal">
      <formula>""</formula>
    </cfRule>
  </conditionalFormatting>
  <conditionalFormatting sqref="B48">
    <cfRule type="cellIs" dxfId="701" priority="75" operator="equal">
      <formula>"y"</formula>
    </cfRule>
  </conditionalFormatting>
  <conditionalFormatting sqref="B3:J3">
    <cfRule type="expression" dxfId="700" priority="10000">
      <formula>$B$48="x"</formula>
    </cfRule>
  </conditionalFormatting>
  <conditionalFormatting sqref="B4:J46">
    <cfRule type="expression" dxfId="699" priority="2">
      <formula>$B$1="x"</formula>
    </cfRule>
  </conditionalFormatting>
  <conditionalFormatting sqref="B3:L3">
    <cfRule type="expression" dxfId="698" priority="69">
      <formula>$B$48="x"</formula>
    </cfRule>
  </conditionalFormatting>
  <conditionalFormatting sqref="C4:D46">
    <cfRule type="expression" dxfId="697" priority="3">
      <formula>AND($B4&lt;&gt;"",$C4="")</formula>
    </cfRule>
  </conditionalFormatting>
  <conditionalFormatting sqref="C49:I49">
    <cfRule type="cellIs" dxfId="696" priority="74" stopIfTrue="1" operator="lessThan">
      <formula>0</formula>
    </cfRule>
    <cfRule type="cellIs" dxfId="695" priority="72" stopIfTrue="1" operator="greaterThanOrEqual">
      <formula>0</formula>
    </cfRule>
  </conditionalFormatting>
  <conditionalFormatting sqref="D47:J47">
    <cfRule type="expression" dxfId="694" priority="12">
      <formula>$A$48&lt;&gt;0</formula>
    </cfRule>
  </conditionalFormatting>
  <conditionalFormatting sqref="H4:H46">
    <cfRule type="expression" dxfId="693" priority="38">
      <formula>AND(G4&lt;&gt;"",H4="",$I$1&lt;&gt;"x")</formula>
    </cfRule>
  </conditionalFormatting>
  <conditionalFormatting sqref="H4:I46">
    <cfRule type="expression" dxfId="692" priority="36">
      <formula>AND($I4&lt;&gt;0,$I$1&lt;&gt;"ü")</formula>
    </cfRule>
    <cfRule type="expression" dxfId="691" priority="37">
      <formula>$I$1&lt;&gt;"ü"</formula>
    </cfRule>
  </conditionalFormatting>
  <conditionalFormatting sqref="J48:L48 C49:L49 C48:H48">
    <cfRule type="expression" dxfId="689" priority="71">
      <formula>$B$48="x"</formula>
    </cfRule>
  </conditionalFormatting>
  <conditionalFormatting sqref="J48:L49">
    <cfRule type="expression" dxfId="688" priority="70">
      <formula>AND($B$48="x",$J$48&lt;&gt;0)</formula>
    </cfRule>
  </conditionalFormatting>
  <conditionalFormatting sqref="K4:L46">
    <cfRule type="expression" dxfId="687" priority="16337">
      <formula>$B$48="x"</formula>
    </cfRule>
  </conditionalFormatting>
  <conditionalFormatting sqref="M3">
    <cfRule type="cellIs" dxfId="686" priority="34" operator="equal">
      <formula>""</formula>
    </cfRule>
  </conditionalFormatting>
  <conditionalFormatting sqref="M4:M46">
    <cfRule type="expression" dxfId="685" priority="32">
      <formula>ISERROR(J4)</formula>
    </cfRule>
    <cfRule type="cellIs" dxfId="684" priority="33" operator="equal">
      <formula>""</formula>
    </cfRule>
  </conditionalFormatting>
  <conditionalFormatting sqref="M47">
    <cfRule type="expression" dxfId="683" priority="11">
      <formula>$A$48&lt;&gt;0</formula>
    </cfRule>
  </conditionalFormatting>
  <conditionalFormatting sqref="M47:M49">
    <cfRule type="cellIs" dxfId="682" priority="14" operator="equal">
      <formula>""</formula>
    </cfRule>
  </conditionalFormatting>
  <conditionalFormatting sqref="N10:AB10">
    <cfRule type="expression" dxfId="681" priority="9">
      <formula>$N$2=0</formula>
    </cfRule>
  </conditionalFormatting>
  <conditionalFormatting sqref="O11:Z11">
    <cfRule type="cellIs" dxfId="680" priority="56" operator="equal">
      <formula>"Fehler!"</formula>
    </cfRule>
  </conditionalFormatting>
  <conditionalFormatting sqref="O4:AA4">
    <cfRule type="expression" dxfId="676" priority="51">
      <formula>$N$2=0</formula>
    </cfRule>
  </conditionalFormatting>
  <conditionalFormatting sqref="O2:AB3">
    <cfRule type="expression" dxfId="674" priority="4">
      <formula>$N$2=0</formula>
    </cfRule>
  </conditionalFormatting>
  <conditionalFormatting sqref="O5:AB8 O9:AA9">
    <cfRule type="expression" dxfId="673" priority="55">
      <formula>$N$2=0</formula>
    </cfRule>
  </conditionalFormatting>
  <conditionalFormatting sqref="O11:AB14">
    <cfRule type="expression" dxfId="672" priority="1">
      <formula>$N$2=0</formula>
    </cfRule>
  </conditionalFormatting>
  <conditionalFormatting sqref="O47:AB49">
    <cfRule type="expression" dxfId="671" priority="13">
      <formula>$N$2=0</formula>
    </cfRule>
  </conditionalFormatting>
  <dataValidations count="2">
    <dataValidation type="list" allowBlank="1" showInputMessage="1" showErrorMessage="1" sqref="H4:H46" xr:uid="{B0868191-1F48-45CE-A9B4-7E96444B91DF}">
      <formula1>"19,7,0,~"</formula1>
    </dataValidation>
    <dataValidation type="list" allowBlank="1" showInputMessage="1" showErrorMessage="1" sqref="F4:F46" xr:uid="{70C39238-0E6F-4864-89D7-F2365EBE8391}">
      <formula1>"Konto,Geldbeutel,Kreditkarte,x"</formula1>
    </dataValidation>
  </dataValidations>
  <hyperlinks>
    <hyperlink ref="J2" location="'2022 EÜR'!A1" display="Menü" xr:uid="{DCEBF25D-31F2-4349-9ACE-63DE5F131B3E}"/>
    <hyperlink ref="J2:L2" location="EÜR!A1" display="EÜR" xr:uid="{004537E1-A758-49E1-9ACD-68F41FCE77F6}"/>
  </hyperlinks>
  <printOptions horizontalCentered="1"/>
  <pageMargins left="0" right="0" top="0" bottom="0.31496062992125984" header="0" footer="0"/>
  <pageSetup paperSize="9" orientation="portrait" r:id="rId1"/>
  <headerFooter>
    <oddFooter>&amp;L&amp;"Arial,Standard"&amp;8Datei: &amp;Z&amp;F/&amp;A&amp;C&amp;"Arial,Standard"&amp;8Seite &amp;P von &amp;N&amp;R&amp;"Arial,Standard"&amp;8Druck: &amp;D&amp;T Uhr</oddFooter>
  </headerFooter>
  <extLst>
    <ext xmlns:x14="http://schemas.microsoft.com/office/spreadsheetml/2009/9/main" uri="{78C0D931-6437-407d-A8EE-F0AAD7539E65}">
      <x14:conditionalFormattings>
        <x14:conditionalFormatting xmlns:xm="http://schemas.microsoft.com/office/excel/2006/main">
          <x14:cfRule type="cellIs" priority="41" operator="lessThan" id="{D72BCAB3-CF24-4166-AF9A-8CFB5235B391}">
            <xm:f>EÜR!$I$77</xm:f>
            <x14:dxf>
              <font>
                <b/>
                <i val="0"/>
                <color rgb="FFFFFF00"/>
              </font>
              <fill>
                <patternFill>
                  <bgColor rgb="FFC00000"/>
                </patternFill>
              </fill>
            </x14:dxf>
          </x14:cfRule>
          <x14:cfRule type="cellIs" priority="40" operator="greaterThan" id="{39E6BE99-268C-4511-AF26-555D24E7391E}">
            <xm:f>EÜR!$I$78</xm:f>
            <x14:dxf>
              <font>
                <b/>
                <i val="0"/>
                <color rgb="FFFFFF00"/>
              </font>
              <fill>
                <patternFill>
                  <bgColor rgb="FFC00000"/>
                </patternFill>
              </fill>
            </x14:dxf>
          </x14:cfRule>
          <xm:sqref>B4:B46</xm:sqref>
        </x14:conditionalFormatting>
        <x14:conditionalFormatting xmlns:xm="http://schemas.microsoft.com/office/excel/2006/main">
          <x14:cfRule type="expression" priority="53" id="{0D86134B-F099-418E-81EA-D243A30B69A8}">
            <xm:f>AND(EÜR!$J$66&lt;&gt;"ü",$H$48&lt;&gt;0)</xm:f>
            <x14:dxf>
              <font>
                <b/>
                <i val="0"/>
                <color rgb="FFFFFF00"/>
              </font>
              <fill>
                <patternFill>
                  <bgColor rgb="FFFF0000"/>
                </patternFill>
              </fill>
            </x14:dxf>
          </x14:cfRule>
          <xm:sqref>H48:I48</xm:sqref>
        </x14:conditionalFormatting>
        <x14:conditionalFormatting xmlns:xm="http://schemas.microsoft.com/office/excel/2006/main">
          <x14:cfRule type="expression" priority="57" id="{24D4C88C-AD12-434A-BFC3-EC701850D8AF}">
            <xm:f>AND(O13&lt;&gt;0,U!L36="!",U!L37="!")</xm:f>
            <x14:dxf>
              <font>
                <b/>
                <i val="0"/>
                <color rgb="FFFF0000"/>
              </font>
              <fill>
                <patternFill>
                  <bgColor rgb="FFFFCCCC"/>
                </patternFill>
              </fill>
            </x14:dxf>
          </x14:cfRule>
          <x14:cfRule type="expression" priority="58" id="{45C9106D-DED0-49F3-A552-99521E99920C}">
            <xm:f>U!L37&lt;&gt;"!"</xm:f>
            <x14:dxf>
              <font>
                <b/>
                <i val="0"/>
                <color rgb="FF006666"/>
              </font>
              <fill>
                <patternFill>
                  <bgColor theme="6" tint="0.39994506668294322"/>
                </patternFill>
              </fill>
            </x14:dxf>
          </x14:cfRule>
          <x14:cfRule type="expression" priority="59" id="{573A3EA5-B1D4-41F4-B964-58C22E513D75}">
            <xm:f>U!L36&lt;&gt;"!"</xm:f>
            <x14:dxf>
              <font>
                <b/>
                <i val="0"/>
                <color theme="9" tint="-0.499984740745262"/>
              </font>
              <fill>
                <patternFill>
                  <bgColor rgb="FFFFFF99"/>
                </patternFill>
              </fill>
            </x14:dxf>
          </x14:cfRule>
          <xm:sqref>O13:Z13</xm:sqref>
        </x14:conditionalFormatting>
        <x14:conditionalFormatting xmlns:xm="http://schemas.microsoft.com/office/excel/2006/main">
          <x14:cfRule type="expression" priority="5" id="{6B72030A-B89C-419B-A12D-1A6F3646A00B}">
            <xm:f>EÜR!$J$66="-"</xm:f>
            <x14:dxf>
              <font>
                <b/>
                <i val="0"/>
                <color theme="0"/>
              </font>
              <fill>
                <patternFill>
                  <bgColor theme="0"/>
                </patternFill>
              </fill>
              <border>
                <left/>
                <right/>
                <top/>
                <bottom/>
              </border>
            </x14:dxf>
          </x14:cfRule>
          <xm:sqref>O12:AA14</xm:sqref>
        </x14:conditionalFormatting>
      </x14:conditionalFormattings>
    </ext>
  </extLst>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89257E-E41F-439E-8D19-9640EC8C6AC8}">
  <sheetPr codeName="Tabelle29">
    <tabColor theme="9" tint="0.39997558519241921"/>
    <pageSetUpPr autoPageBreaks="0"/>
  </sheetPr>
  <dimension ref="A1:AB51"/>
  <sheetViews>
    <sheetView showGridLines="0" showRowColHeaders="0" zoomScaleNormal="100" workbookViewId="0">
      <pane ySplit="3" topLeftCell="A4" activePane="bottomLeft" state="frozen"/>
      <selection activeCell="F4" sqref="F4:F46"/>
      <selection pane="bottomLeft" activeCell="A4" sqref="A4"/>
    </sheetView>
  </sheetViews>
  <sheetFormatPr baseColWidth="10" defaultColWidth="9.77734375" defaultRowHeight="12.75"/>
  <cols>
    <col min="1" max="1" width="0.77734375" style="12" customWidth="1"/>
    <col min="2" max="2" width="7.6640625" style="30" customWidth="1"/>
    <col min="3" max="3" width="21.6640625" style="24" customWidth="1"/>
    <col min="4" max="4" width="7.6640625" style="24" customWidth="1"/>
    <col min="5" max="5" width="6.6640625" style="25" customWidth="1"/>
    <col min="6" max="6" width="9.6640625" style="26" customWidth="1"/>
    <col min="7" max="7" width="9.6640625" style="27" customWidth="1"/>
    <col min="8" max="8" width="2.6640625" style="28" customWidth="1"/>
    <col min="9" max="9" width="6.6640625" style="29" customWidth="1"/>
    <col min="10" max="10" width="9.6640625" style="27" customWidth="1"/>
    <col min="11" max="11" width="2.5546875" style="27" hidden="1" customWidth="1"/>
    <col min="12" max="12" width="1.5546875" style="32" hidden="1" customWidth="1"/>
    <col min="13" max="13" width="0.77734375" style="13" customWidth="1"/>
    <col min="14" max="14" width="1.77734375" style="147" customWidth="1"/>
    <col min="15" max="26" width="8.77734375" style="13" customWidth="1"/>
    <col min="27" max="27" width="10.33203125" style="13" customWidth="1"/>
    <col min="28" max="28" width="8.33203125" style="13" customWidth="1"/>
    <col min="29" max="16384" width="9.77734375" style="13"/>
  </cols>
  <sheetData>
    <row r="1" spans="1:28" s="37" customFormat="1" ht="3" customHeight="1" thickBot="1">
      <c r="A1" s="36"/>
      <c r="B1" s="53" t="str">
        <f>+B48</f>
        <v>ü</v>
      </c>
      <c r="C1" s="54">
        <f>+C49</f>
        <v>0</v>
      </c>
      <c r="D1" s="54"/>
      <c r="E1" s="53">
        <f>+E49</f>
        <v>0</v>
      </c>
      <c r="F1" s="53"/>
      <c r="G1" s="54">
        <f>+G49</f>
        <v>0</v>
      </c>
      <c r="H1" s="53"/>
      <c r="I1" s="338" t="s">
        <v>168</v>
      </c>
      <c r="J1" s="54">
        <f>+J48</f>
        <v>0</v>
      </c>
      <c r="K1" s="198"/>
      <c r="L1" s="56"/>
      <c r="N1" s="190"/>
    </row>
    <row r="2" spans="1:28" ht="23.1" customHeight="1" thickTop="1" thickBot="1">
      <c r="A2" s="36"/>
      <c r="B2" s="296" t="str">
        <f>+EÜR!D41</f>
        <v>A20</v>
      </c>
      <c r="C2" s="1290" t="str">
        <f>+EÜR!F41</f>
        <v>Schuldzinsen</v>
      </c>
      <c r="D2" s="1291"/>
      <c r="E2" s="1291"/>
      <c r="F2" s="1291"/>
      <c r="G2" s="1291"/>
      <c r="H2" s="1291"/>
      <c r="I2" s="1292"/>
      <c r="J2" s="1227" t="s">
        <v>8</v>
      </c>
      <c r="K2" s="1228"/>
      <c r="L2" s="1229"/>
      <c r="M2" s="134"/>
      <c r="N2" s="190">
        <f>IF(OR(B48="x",N3=1),0,1)</f>
        <v>1</v>
      </c>
      <c r="O2" s="188">
        <f>+EOMONTH(EÜR!$I$3,-1)+1</f>
        <v>46023</v>
      </c>
      <c r="P2" s="188">
        <f t="shared" ref="P2:Z2" si="0">+O3+1</f>
        <v>46054</v>
      </c>
      <c r="Q2" s="188">
        <f t="shared" si="0"/>
        <v>46082</v>
      </c>
      <c r="R2" s="188">
        <f t="shared" si="0"/>
        <v>46113</v>
      </c>
      <c r="S2" s="188">
        <f t="shared" si="0"/>
        <v>46143</v>
      </c>
      <c r="T2" s="188">
        <f t="shared" si="0"/>
        <v>46174</v>
      </c>
      <c r="U2" s="188">
        <f t="shared" si="0"/>
        <v>46204</v>
      </c>
      <c r="V2" s="188">
        <f t="shared" si="0"/>
        <v>46235</v>
      </c>
      <c r="W2" s="188">
        <f t="shared" si="0"/>
        <v>46266</v>
      </c>
      <c r="X2" s="188">
        <f t="shared" si="0"/>
        <v>46296</v>
      </c>
      <c r="Y2" s="188">
        <f t="shared" si="0"/>
        <v>46327</v>
      </c>
      <c r="Z2" s="188">
        <f t="shared" si="0"/>
        <v>46357</v>
      </c>
      <c r="AA2" s="48"/>
    </row>
    <row r="3" spans="1:28" ht="14.25" customHeight="1" thickTop="1">
      <c r="A3" s="36" t="s">
        <v>5</v>
      </c>
      <c r="B3" s="58" t="s">
        <v>1</v>
      </c>
      <c r="C3" s="59" t="s">
        <v>6</v>
      </c>
      <c r="D3" s="60"/>
      <c r="E3" s="310" t="s">
        <v>7</v>
      </c>
      <c r="F3" s="61" t="s">
        <v>4</v>
      </c>
      <c r="G3" s="62" t="s">
        <v>31</v>
      </c>
      <c r="H3" s="63" t="s">
        <v>33</v>
      </c>
      <c r="I3" s="64" t="s">
        <v>32</v>
      </c>
      <c r="J3" s="275" t="s">
        <v>34</v>
      </c>
      <c r="K3" s="199">
        <v>0</v>
      </c>
      <c r="L3" s="65" t="s">
        <v>5</v>
      </c>
      <c r="M3" s="135" t="s">
        <v>5</v>
      </c>
      <c r="N3" s="222">
        <f>IF(SUBTOTAL(109,K3:K47)&lt;&gt;SUM(K3:K47),1,0)</f>
        <v>0</v>
      </c>
      <c r="O3" s="189">
        <f>EOMONTH(O2,0)</f>
        <v>46053</v>
      </c>
      <c r="P3" s="189">
        <f t="shared" ref="P3:Z3" si="1">EOMONTH(P2,0)</f>
        <v>46081</v>
      </c>
      <c r="Q3" s="189">
        <f t="shared" si="1"/>
        <v>46112</v>
      </c>
      <c r="R3" s="189">
        <f t="shared" si="1"/>
        <v>46142</v>
      </c>
      <c r="S3" s="189">
        <f t="shared" si="1"/>
        <v>46173</v>
      </c>
      <c r="T3" s="189">
        <f t="shared" si="1"/>
        <v>46203</v>
      </c>
      <c r="U3" s="189">
        <f t="shared" si="1"/>
        <v>46234</v>
      </c>
      <c r="V3" s="189">
        <f t="shared" si="1"/>
        <v>46265</v>
      </c>
      <c r="W3" s="189">
        <f t="shared" si="1"/>
        <v>46295</v>
      </c>
      <c r="X3" s="189">
        <f t="shared" si="1"/>
        <v>46326</v>
      </c>
      <c r="Y3" s="189">
        <f t="shared" si="1"/>
        <v>46356</v>
      </c>
      <c r="Z3" s="189">
        <f t="shared" si="1"/>
        <v>46387</v>
      </c>
      <c r="AB3" s="14"/>
    </row>
    <row r="4" spans="1:28" ht="13.35" customHeight="1">
      <c r="A4" s="50" t="s">
        <v>5</v>
      </c>
      <c r="B4" s="141"/>
      <c r="C4" s="80"/>
      <c r="D4" s="93"/>
      <c r="E4" s="226"/>
      <c r="F4" s="89"/>
      <c r="G4" s="81"/>
      <c r="H4" s="82"/>
      <c r="I4" s="83" t="str">
        <f t="shared" ref="I4:I44" si="2">IF(G4&lt;&gt;"",+G4-G4/(1+H4/100),"")</f>
        <v/>
      </c>
      <c r="J4" s="361" t="str">
        <f t="shared" ref="J4:J44" si="3">IF(G4&lt;&gt;0,+G4-I4,"")</f>
        <v/>
      </c>
      <c r="K4" s="200">
        <v>1</v>
      </c>
      <c r="L4" s="133">
        <f>IF(B4&lt;$O$2,0,IF(B4&lt;$P$2,1,IF(B4&lt;$Q$2,2,IF(B4&lt;$R$2,3,IF(B4&lt;$S$2,4,IF(B4&lt;$T$2,5,IF(B4&lt;$U$2,6,IF(B4&lt;$V$2,7,IF(B4&lt;$W$2,8,IF(B4&lt;$X$2,9,IF(B4&lt;$Y$2,10,IF(B4&lt;$Z$2,11,IF(B4&lt;=$Z$3,12,0)))))))))))))</f>
        <v>0</v>
      </c>
      <c r="M4" s="135" t="s">
        <v>5</v>
      </c>
      <c r="N4" s="190">
        <f>+N10+AA12+AA16</f>
        <v>0</v>
      </c>
      <c r="O4" s="251" t="s">
        <v>36</v>
      </c>
      <c r="P4" s="251" t="s">
        <v>37</v>
      </c>
      <c r="Q4" s="251" t="s">
        <v>38</v>
      </c>
      <c r="R4" s="251" t="s">
        <v>39</v>
      </c>
      <c r="S4" s="251" t="s">
        <v>40</v>
      </c>
      <c r="T4" s="251" t="s">
        <v>41</v>
      </c>
      <c r="U4" s="251" t="s">
        <v>42</v>
      </c>
      <c r="V4" s="251" t="s">
        <v>43</v>
      </c>
      <c r="W4" s="251" t="s">
        <v>44</v>
      </c>
      <c r="X4" s="251" t="s">
        <v>45</v>
      </c>
      <c r="Y4" s="251" t="s">
        <v>46</v>
      </c>
      <c r="Z4" s="251" t="s">
        <v>47</v>
      </c>
      <c r="AA4" s="1209" t="s">
        <v>255</v>
      </c>
      <c r="AB4" s="1210"/>
    </row>
    <row r="5" spans="1:28" ht="13.35" customHeight="1">
      <c r="A5" s="50" t="s">
        <v>5</v>
      </c>
      <c r="B5" s="141"/>
      <c r="C5" s="80"/>
      <c r="D5" s="93"/>
      <c r="E5" s="226"/>
      <c r="F5" s="89"/>
      <c r="G5" s="81"/>
      <c r="H5" s="82"/>
      <c r="I5" s="83" t="str">
        <f t="shared" si="2"/>
        <v/>
      </c>
      <c r="J5" s="361" t="str">
        <f t="shared" si="3"/>
        <v/>
      </c>
      <c r="K5" s="200">
        <v>2</v>
      </c>
      <c r="L5" s="133">
        <f t="shared" ref="L5:L44" si="4">IF(B5&lt;$O$2,0,IF(B5&lt;$P$2,1,IF(B5&lt;$Q$2,2,IF(B5&lt;$R$2,3,IF(B5&lt;$S$2,4,IF(B5&lt;$T$2,5,IF(B5&lt;$U$2,6,IF(B5&lt;$V$2,7,IF(B5&lt;$W$2,8,IF(B5&lt;$X$2,9,IF(B5&lt;$Y$2,10,IF(B5&lt;$Z$2,11,IF(B5&lt;=$Z$3,12,0)))))))))))))</f>
        <v>0</v>
      </c>
      <c r="M5" s="135" t="s">
        <v>5</v>
      </c>
      <c r="O5" s="252">
        <f>SUMIFS($G$3:$G$47,$L$3:$L$47,1,$F$3:$F$47,"Konto")</f>
        <v>0</v>
      </c>
      <c r="P5" s="252">
        <f>SUMIFS($G$3:$G$47,$L$3:$L$47,2,$F$3:$F$47,"Konto")</f>
        <v>0</v>
      </c>
      <c r="Q5" s="252">
        <f>SUMIFS($G$3:$G$47,$L$3:$L$47,3,$F$3:$F$47,"Konto")</f>
        <v>0</v>
      </c>
      <c r="R5" s="252">
        <f>SUMIFS($G$3:$G$47,$L$3:$L$47,4,$F$3:$F$47,"Konto")</f>
        <v>0</v>
      </c>
      <c r="S5" s="252">
        <f>SUMIFS($G$3:$G$47,$L$3:$L$47,5,$F$3:$F$47,"Konto")</f>
        <v>0</v>
      </c>
      <c r="T5" s="252">
        <f>SUMIFS($G$3:$G$47,$L$3:$L$47,6,$F$3:$F$47,"Konto")</f>
        <v>0</v>
      </c>
      <c r="U5" s="252">
        <f>SUMIFS($G$3:$G$47,$L$3:$L$47,7,$F$3:$F$47,"Konto")</f>
        <v>0</v>
      </c>
      <c r="V5" s="252">
        <f>SUMIFS($G$3:$G$47,$L$3:$L$47,8,$F$3:$F$47,"Konto")</f>
        <v>0</v>
      </c>
      <c r="W5" s="252">
        <f>SUMIFS($G$3:$G$47,$L$3:$L$47,9,$F$3:$F$47,"Konto")</f>
        <v>0</v>
      </c>
      <c r="X5" s="252">
        <f>SUMIFS($G$3:$G$47,$L$3:$L$47,10,$F$3:$F$47,"Konto")</f>
        <v>0</v>
      </c>
      <c r="Y5" s="252">
        <f>SUMIFS($G$3:$G$47,$L$3:$L$47,11,$F$3:$F$47,"Konto")</f>
        <v>0</v>
      </c>
      <c r="Z5" s="252">
        <f>SUMIFS($G$3:$G$47,$L$3:$L$47,12,$F$3:$F$47,"Konto")</f>
        <v>0</v>
      </c>
      <c r="AA5" s="253">
        <f>SUM(O5:Z5)</f>
        <v>0</v>
      </c>
      <c r="AB5" s="254" t="s">
        <v>140</v>
      </c>
    </row>
    <row r="6" spans="1:28" ht="13.35" customHeight="1">
      <c r="A6" s="50" t="s">
        <v>5</v>
      </c>
      <c r="B6" s="141"/>
      <c r="C6" s="80"/>
      <c r="D6" s="93"/>
      <c r="E6" s="226"/>
      <c r="F6" s="89"/>
      <c r="G6" s="81"/>
      <c r="H6" s="82"/>
      <c r="I6" s="83" t="str">
        <f t="shared" si="2"/>
        <v/>
      </c>
      <c r="J6" s="361" t="str">
        <f t="shared" si="3"/>
        <v/>
      </c>
      <c r="K6" s="200">
        <v>3</v>
      </c>
      <c r="L6" s="133">
        <f t="shared" si="4"/>
        <v>0</v>
      </c>
      <c r="M6" s="135" t="s">
        <v>5</v>
      </c>
      <c r="N6" s="190"/>
      <c r="O6" s="252">
        <f>SUMIFS($G$3:$G$47,$L$3:$L$47,1,$F$3:$F$47,"Kreditkarte")</f>
        <v>0</v>
      </c>
      <c r="P6" s="252">
        <f>SUMIFS($G$3:$G$47,$L$3:$L$47,2,$F$3:$F$47,"Kreditkarte")</f>
        <v>0</v>
      </c>
      <c r="Q6" s="252">
        <f>SUMIFS($G$3:$G$47,$L$3:$L$47,3,$F$3:$F$47,"Kreditkarte")</f>
        <v>0</v>
      </c>
      <c r="R6" s="252">
        <f>SUMIFS($G$3:$G$47,$L$3:$L$47,4,$F$3:$F$47,"Kreditkarte")</f>
        <v>0</v>
      </c>
      <c r="S6" s="252">
        <f>SUMIFS($G$3:$G$47,$L$3:$L$47,5,$F$3:$F$47,"Kreditkarte")</f>
        <v>0</v>
      </c>
      <c r="T6" s="252">
        <f>SUMIFS($G$3:$G$47,$L$3:$L$47,6,$F$3:$F$47,"Kreditkarte")</f>
        <v>0</v>
      </c>
      <c r="U6" s="252">
        <f>SUMIFS($G$3:$G$47,$L$3:$L$47,7,$F$3:$F$47,"Kreditkarte")</f>
        <v>0</v>
      </c>
      <c r="V6" s="252">
        <f>SUMIFS($G$3:$G$47,$L$3:$L$47,8,$F$3:$F$47,"Kreditkarte")</f>
        <v>0</v>
      </c>
      <c r="W6" s="252">
        <f>SUMIFS($G$3:$G$47,$L$3:$L$47,9,$F$3:$F$47,"Kreditkarte")</f>
        <v>0</v>
      </c>
      <c r="X6" s="252">
        <f>SUMIFS($G$3:$G$47,$L$3:$L$47,10,$F$3:$F$47,"Kreditkarte")</f>
        <v>0</v>
      </c>
      <c r="Y6" s="252">
        <f>SUMIFS($G$3:$G$47,$L$3:$L$47,11,$F$3:$F$47,"Kreditkarte")</f>
        <v>0</v>
      </c>
      <c r="Z6" s="252">
        <f>SUMIFS($G$3:$G$47,$L$3:$L$47,12,$F$3:$F$47,"Kreditkarte")</f>
        <v>0</v>
      </c>
      <c r="AA6" s="255">
        <f t="shared" ref="AA6:AA8" si="5">SUM(O6:Z6)</f>
        <v>0</v>
      </c>
      <c r="AB6" s="256" t="s">
        <v>142</v>
      </c>
    </row>
    <row r="7" spans="1:28" ht="13.35" customHeight="1">
      <c r="A7" s="50" t="s">
        <v>5</v>
      </c>
      <c r="B7" s="141"/>
      <c r="C7" s="80"/>
      <c r="D7" s="93"/>
      <c r="E7" s="226"/>
      <c r="F7" s="89"/>
      <c r="G7" s="81"/>
      <c r="H7" s="82"/>
      <c r="I7" s="83" t="str">
        <f t="shared" si="2"/>
        <v/>
      </c>
      <c r="J7" s="361" t="str">
        <f t="shared" si="3"/>
        <v/>
      </c>
      <c r="K7" s="200">
        <v>4</v>
      </c>
      <c r="L7" s="133">
        <f t="shared" si="4"/>
        <v>0</v>
      </c>
      <c r="M7" s="135" t="s">
        <v>5</v>
      </c>
      <c r="O7" s="252">
        <f>SUMIFS($G$3:$G$47,$L$3:$L$47,1,$F$3:$F$47,"Geldbeutel")</f>
        <v>0</v>
      </c>
      <c r="P7" s="252">
        <f>SUMIFS($G$3:$G$47,$L$3:$L$47,2,$F$3:$F$47,"Geldbeutel")</f>
        <v>0</v>
      </c>
      <c r="Q7" s="252">
        <f>SUMIFS($G$3:$G$47,$L$3:$L$47,3,$F$3:$F$47,"Geldbeutel")</f>
        <v>0</v>
      </c>
      <c r="R7" s="252">
        <f>SUMIFS($G$3:$G$47,$L$3:$L$47,4,$F$3:$F$47,"Geldbeutel")</f>
        <v>0</v>
      </c>
      <c r="S7" s="252">
        <f>SUMIFS($G$3:$G$47,$L$3:$L$47,5,$F$3:$F$47,"Geldbeutel")</f>
        <v>0</v>
      </c>
      <c r="T7" s="252">
        <f>SUMIFS($G$3:$G$47,$L$3:$L$47,6,$F$3:$F$47,"Geldbeutel")</f>
        <v>0</v>
      </c>
      <c r="U7" s="252">
        <f>SUMIFS($G$3:$G$47,$L$3:$L$47,7,$F$3:$F$47,"Geldbeutel")</f>
        <v>0</v>
      </c>
      <c r="V7" s="252">
        <f>SUMIFS($G$3:$G$47,$L$3:$L$47,8,$F$3:$F$47,"Geldbeutel")</f>
        <v>0</v>
      </c>
      <c r="W7" s="252">
        <f>SUMIFS($G$3:$G$47,$L$3:$L$47,9,$F$3:$F$47,"Geldbeutel")</f>
        <v>0</v>
      </c>
      <c r="X7" s="252">
        <f>SUMIFS($G$3:$G$47,$L$3:$L$47,10,$F$3:$F$47,"Geldbeutel")</f>
        <v>0</v>
      </c>
      <c r="Y7" s="252">
        <f>SUMIFS($G$3:$G$47,$L$3:$L$47,11,$F$3:$F$47,"Geldbeutel")</f>
        <v>0</v>
      </c>
      <c r="Z7" s="252">
        <f>SUMIFS($G$3:$G$47,$L$3:$L$47,12,$F$3:$F$47,"Geldbeutel")</f>
        <v>0</v>
      </c>
      <c r="AA7" s="253">
        <f t="shared" si="5"/>
        <v>0</v>
      </c>
      <c r="AB7" s="254" t="s">
        <v>139</v>
      </c>
    </row>
    <row r="8" spans="1:28" ht="13.35" customHeight="1">
      <c r="A8" s="50" t="s">
        <v>5</v>
      </c>
      <c r="B8" s="141"/>
      <c r="C8" s="80"/>
      <c r="D8" s="93"/>
      <c r="E8" s="226"/>
      <c r="F8" s="89"/>
      <c r="G8" s="81"/>
      <c r="H8" s="82"/>
      <c r="I8" s="83" t="str">
        <f t="shared" si="2"/>
        <v/>
      </c>
      <c r="J8" s="361" t="str">
        <f t="shared" si="3"/>
        <v/>
      </c>
      <c r="K8" s="200">
        <v>5</v>
      </c>
      <c r="L8" s="133">
        <f t="shared" si="4"/>
        <v>0</v>
      </c>
      <c r="M8" s="135" t="s">
        <v>5</v>
      </c>
      <c r="O8" s="252">
        <f>SUMIFS($G$3:$G$47,$L$3:$L$47,1,$F$3:$F$47,"X")</f>
        <v>0</v>
      </c>
      <c r="P8" s="252">
        <f>SUMIFS($G$3:$G$47,$L$3:$L$47,2,$F$3:$F$47,"X")</f>
        <v>0</v>
      </c>
      <c r="Q8" s="252">
        <f>SUMIFS($G$3:$G$47,$L$3:$L$47,3,$F$3:$F$47,"X")</f>
        <v>0</v>
      </c>
      <c r="R8" s="252">
        <f>SUMIFS($G$3:$G$47,$L$3:$L$47,4,$F$3:$F$47,"X")</f>
        <v>0</v>
      </c>
      <c r="S8" s="252">
        <f>SUMIFS($G$3:$G$47,$L$3:$L$47,5,$F$3:$F$47,"X")</f>
        <v>0</v>
      </c>
      <c r="T8" s="252">
        <f>SUMIFS($G$3:$G$47,$L$3:$L$47,6,$F$3:$F$47,"X")</f>
        <v>0</v>
      </c>
      <c r="U8" s="252">
        <f>SUMIFS($G$3:$G$47,$L$3:$L$47,7,$F$3:$F$47,"X")</f>
        <v>0</v>
      </c>
      <c r="V8" s="252">
        <f>SUMIFS($G$3:$G$47,$L$3:$L$47,8,$F$3:$F$47,"X")</f>
        <v>0</v>
      </c>
      <c r="W8" s="252">
        <f>SUMIFS($G$3:$G$47,$L$3:$L$47,9,$F$3:$F$47,"X")</f>
        <v>0</v>
      </c>
      <c r="X8" s="252">
        <f>SUMIFS($G$3:$G$47,$L$3:$L$47,10,$F$3:$F$47,"X")</f>
        <v>0</v>
      </c>
      <c r="Y8" s="252">
        <f>SUMIFS($G$3:$G$47,$L$3:$L$47,11,$F$3:$F$47,"X")</f>
        <v>0</v>
      </c>
      <c r="Z8" s="252">
        <f>SUMIFS($G$3:$G$47,$L$3:$L$47,12,$F$3:$F$47,"X")</f>
        <v>0</v>
      </c>
      <c r="AA8" s="255">
        <f t="shared" si="5"/>
        <v>0</v>
      </c>
      <c r="AB8" s="256" t="s">
        <v>192</v>
      </c>
    </row>
    <row r="9" spans="1:28" ht="13.35" customHeight="1">
      <c r="A9" s="50" t="s">
        <v>5</v>
      </c>
      <c r="B9" s="141"/>
      <c r="C9" s="80"/>
      <c r="D9" s="93"/>
      <c r="E9" s="226"/>
      <c r="F9" s="89"/>
      <c r="G9" s="81"/>
      <c r="H9" s="82"/>
      <c r="I9" s="83" t="str">
        <f t="shared" si="2"/>
        <v/>
      </c>
      <c r="J9" s="361" t="str">
        <f t="shared" si="3"/>
        <v/>
      </c>
      <c r="K9" s="200">
        <v>6</v>
      </c>
      <c r="L9" s="133">
        <f t="shared" si="4"/>
        <v>0</v>
      </c>
      <c r="M9" s="135" t="s">
        <v>5</v>
      </c>
      <c r="N9" s="191">
        <f>IF(OR(AND(AA14&lt;&gt;0,B48="x"),(O14+AA13)&lt;&gt;H48),1,0)</f>
        <v>0</v>
      </c>
      <c r="O9" s="257">
        <f>SUM(O5:O8)</f>
        <v>0</v>
      </c>
      <c r="P9" s="257">
        <f t="shared" ref="P9:Z9" si="6">SUM(P5:P8)</f>
        <v>0</v>
      </c>
      <c r="Q9" s="257">
        <f t="shared" si="6"/>
        <v>0</v>
      </c>
      <c r="R9" s="257">
        <f t="shared" si="6"/>
        <v>0</v>
      </c>
      <c r="S9" s="257">
        <f t="shared" si="6"/>
        <v>0</v>
      </c>
      <c r="T9" s="257">
        <f t="shared" si="6"/>
        <v>0</v>
      </c>
      <c r="U9" s="257">
        <f t="shared" si="6"/>
        <v>0</v>
      </c>
      <c r="V9" s="257">
        <f t="shared" si="6"/>
        <v>0</v>
      </c>
      <c r="W9" s="257">
        <f t="shared" si="6"/>
        <v>0</v>
      </c>
      <c r="X9" s="257">
        <f t="shared" si="6"/>
        <v>0</v>
      </c>
      <c r="Y9" s="257">
        <f t="shared" si="6"/>
        <v>0</v>
      </c>
      <c r="Z9" s="257">
        <f t="shared" si="6"/>
        <v>0</v>
      </c>
      <c r="AA9" s="1211" t="s">
        <v>197</v>
      </c>
      <c r="AB9" s="1212"/>
    </row>
    <row r="10" spans="1:28" ht="13.35" customHeight="1">
      <c r="A10" s="50" t="s">
        <v>5</v>
      </c>
      <c r="B10" s="141"/>
      <c r="C10" s="80"/>
      <c r="D10" s="93"/>
      <c r="E10" s="226"/>
      <c r="F10" s="89"/>
      <c r="G10" s="81"/>
      <c r="H10" s="82"/>
      <c r="I10" s="83" t="str">
        <f t="shared" si="2"/>
        <v/>
      </c>
      <c r="J10" s="361" t="str">
        <f t="shared" si="3"/>
        <v/>
      </c>
      <c r="K10" s="200">
        <v>7</v>
      </c>
      <c r="L10" s="133">
        <f t="shared" si="4"/>
        <v>0</v>
      </c>
      <c r="M10" s="135" t="s">
        <v>5</v>
      </c>
      <c r="N10" s="259">
        <f>IF(O10+AA10&lt;&gt;G48,1,0)</f>
        <v>0</v>
      </c>
      <c r="O10" s="1230">
        <f>SUM(O5:Z8)</f>
        <v>0</v>
      </c>
      <c r="P10" s="1231"/>
      <c r="Q10" s="1231"/>
      <c r="R10" s="1231"/>
      <c r="S10" s="1231"/>
      <c r="T10" s="1231"/>
      <c r="U10" s="1231"/>
      <c r="V10" s="1231"/>
      <c r="W10" s="1231"/>
      <c r="X10" s="1231"/>
      <c r="Y10" s="1231"/>
      <c r="Z10" s="1232"/>
      <c r="AA10" s="292">
        <f>+G48-AA7-AA6-AA5-AA8</f>
        <v>0</v>
      </c>
      <c r="AB10" s="293" t="s">
        <v>205</v>
      </c>
    </row>
    <row r="11" spans="1:28" ht="13.35" customHeight="1">
      <c r="A11" s="50" t="s">
        <v>5</v>
      </c>
      <c r="B11" s="141"/>
      <c r="C11" s="80"/>
      <c r="D11" s="93"/>
      <c r="E11" s="226"/>
      <c r="F11" s="89"/>
      <c r="G11" s="81"/>
      <c r="H11" s="82"/>
      <c r="I11" s="83" t="str">
        <f t="shared" si="2"/>
        <v/>
      </c>
      <c r="J11" s="361" t="str">
        <f t="shared" si="3"/>
        <v/>
      </c>
      <c r="K11" s="200">
        <v>8</v>
      </c>
      <c r="L11" s="133">
        <f t="shared" si="4"/>
        <v>0</v>
      </c>
      <c r="M11" s="135" t="s">
        <v>5</v>
      </c>
      <c r="O11" s="1219" t="str">
        <f>IF(N4&gt;0,"Fehler!","")</f>
        <v/>
      </c>
      <c r="P11" s="1219"/>
      <c r="Q11" s="1219"/>
      <c r="R11" s="1219"/>
      <c r="S11" s="1219"/>
      <c r="T11" s="1219"/>
      <c r="U11" s="1219"/>
      <c r="V11" s="1219"/>
      <c r="W11" s="1219"/>
      <c r="X11" s="1219"/>
      <c r="Y11" s="1219"/>
      <c r="Z11" s="1219"/>
    </row>
    <row r="12" spans="1:28" ht="13.35" customHeight="1">
      <c r="A12" s="50" t="s">
        <v>5</v>
      </c>
      <c r="B12" s="141"/>
      <c r="C12" s="80"/>
      <c r="D12" s="93"/>
      <c r="E12" s="226"/>
      <c r="F12" s="89"/>
      <c r="G12" s="81"/>
      <c r="H12" s="82"/>
      <c r="I12" s="83" t="str">
        <f t="shared" si="2"/>
        <v/>
      </c>
      <c r="J12" s="361" t="str">
        <f t="shared" si="3"/>
        <v/>
      </c>
      <c r="K12" s="200">
        <v>9</v>
      </c>
      <c r="L12" s="133">
        <f t="shared" si="4"/>
        <v>0</v>
      </c>
      <c r="M12" s="135" t="s">
        <v>5</v>
      </c>
      <c r="O12" s="203" t="s">
        <v>36</v>
      </c>
      <c r="P12" s="203" t="s">
        <v>37</v>
      </c>
      <c r="Q12" s="203" t="s">
        <v>38</v>
      </c>
      <c r="R12" s="203" t="s">
        <v>39</v>
      </c>
      <c r="S12" s="203" t="s">
        <v>40</v>
      </c>
      <c r="T12" s="203" t="s">
        <v>41</v>
      </c>
      <c r="U12" s="203" t="s">
        <v>42</v>
      </c>
      <c r="V12" s="203" t="s">
        <v>43</v>
      </c>
      <c r="W12" s="203" t="s">
        <v>44</v>
      </c>
      <c r="X12" s="203" t="s">
        <v>45</v>
      </c>
      <c r="Y12" s="203" t="s">
        <v>46</v>
      </c>
      <c r="Z12" s="203" t="s">
        <v>47</v>
      </c>
      <c r="AA12" s="221">
        <f>IF(O14+AA13&lt;&gt;H48,1,0)</f>
        <v>0</v>
      </c>
    </row>
    <row r="13" spans="1:28" ht="13.35" customHeight="1">
      <c r="A13" s="50" t="s">
        <v>5</v>
      </c>
      <c r="B13" s="141"/>
      <c r="C13" s="80"/>
      <c r="D13" s="93"/>
      <c r="E13" s="226"/>
      <c r="F13" s="89"/>
      <c r="G13" s="81"/>
      <c r="H13" s="82"/>
      <c r="I13" s="83" t="str">
        <f t="shared" si="2"/>
        <v/>
      </c>
      <c r="J13" s="361" t="str">
        <f t="shared" si="3"/>
        <v/>
      </c>
      <c r="K13" s="200">
        <v>10</v>
      </c>
      <c r="L13" s="133">
        <f t="shared" si="4"/>
        <v>0</v>
      </c>
      <c r="M13" s="135" t="s">
        <v>5</v>
      </c>
      <c r="O13" s="187">
        <f>SUMIF($L$3:$L$47,1,$I$3:$I$47)</f>
        <v>0</v>
      </c>
      <c r="P13" s="187">
        <f>SUMIF($L$3:$L$47,2,$I$3:$I$47)</f>
        <v>0</v>
      </c>
      <c r="Q13" s="187">
        <f>SUMIF($L$3:$L$47,3,$I$3:$I$47)</f>
        <v>0</v>
      </c>
      <c r="R13" s="187">
        <f>SUMIF($L$3:$L$47,4,$I$3:$I$47)</f>
        <v>0</v>
      </c>
      <c r="S13" s="187">
        <f>SUMIF($L$3:$L$47,5,$I$3:$I$47)</f>
        <v>0</v>
      </c>
      <c r="T13" s="187">
        <f>SUMIF($L$3:$L$47,6,$I$3:$I$47)</f>
        <v>0</v>
      </c>
      <c r="U13" s="187">
        <f>SUMIF($L$3:$L$47,7,$I$3:$I$47)</f>
        <v>0</v>
      </c>
      <c r="V13" s="187">
        <f>SUMIF($L$3:$L$47,8,$I$3:$I$47)</f>
        <v>0</v>
      </c>
      <c r="W13" s="187">
        <f>SUMIF($L$3:$L$47,9,$I$3:$I$47)</f>
        <v>0</v>
      </c>
      <c r="X13" s="187">
        <f>SUMIF($L$3:$L$47,10,$I$3:$I$47)</f>
        <v>0</v>
      </c>
      <c r="Y13" s="187">
        <f>SUMIF($L$3:$L$47,11,$I$3:$I$47)</f>
        <v>0</v>
      </c>
      <c r="Z13" s="187">
        <f>SUMIF($L$3:$L$47,12,$I$3:$I$47)</f>
        <v>0</v>
      </c>
      <c r="AA13" s="1220">
        <f>SUMIF($L$3:$L$47,0,$I$3:$I$47)</f>
        <v>0</v>
      </c>
      <c r="AB13" s="1221"/>
    </row>
    <row r="14" spans="1:28" ht="13.35" customHeight="1">
      <c r="A14" s="50" t="s">
        <v>5</v>
      </c>
      <c r="B14" s="141"/>
      <c r="C14" s="80"/>
      <c r="D14" s="93"/>
      <c r="E14" s="226"/>
      <c r="F14" s="89"/>
      <c r="G14" s="81"/>
      <c r="H14" s="82"/>
      <c r="I14" s="83" t="str">
        <f t="shared" si="2"/>
        <v/>
      </c>
      <c r="J14" s="361" t="str">
        <f t="shared" si="3"/>
        <v/>
      </c>
      <c r="K14" s="200">
        <v>11</v>
      </c>
      <c r="L14" s="133">
        <f t="shared" si="4"/>
        <v>0</v>
      </c>
      <c r="M14" s="135" t="s">
        <v>5</v>
      </c>
      <c r="O14" s="1299">
        <f>SUM(O13:Z13)</f>
        <v>0</v>
      </c>
      <c r="P14" s="1300"/>
      <c r="Q14" s="1300"/>
      <c r="R14" s="1300"/>
      <c r="S14" s="1300"/>
      <c r="T14" s="1300"/>
      <c r="U14" s="1300"/>
      <c r="V14" s="1300"/>
      <c r="W14" s="1300"/>
      <c r="X14" s="1300"/>
      <c r="Y14" s="1300"/>
      <c r="Z14" s="1301"/>
      <c r="AA14" s="1222">
        <f>SUM(O13:Z13)+AA13</f>
        <v>0</v>
      </c>
      <c r="AB14" s="1223"/>
    </row>
    <row r="15" spans="1:28" ht="13.35" customHeight="1">
      <c r="A15" s="50" t="s">
        <v>5</v>
      </c>
      <c r="B15" s="141"/>
      <c r="C15" s="260"/>
      <c r="D15" s="93"/>
      <c r="E15" s="226"/>
      <c r="F15" s="89"/>
      <c r="G15" s="81"/>
      <c r="H15" s="82"/>
      <c r="I15" s="83" t="str">
        <f t="shared" si="2"/>
        <v/>
      </c>
      <c r="J15" s="361" t="str">
        <f t="shared" si="3"/>
        <v/>
      </c>
      <c r="K15" s="200">
        <v>12</v>
      </c>
      <c r="L15" s="133">
        <f t="shared" si="4"/>
        <v>0</v>
      </c>
      <c r="M15" s="135" t="s">
        <v>5</v>
      </c>
      <c r="O15" s="244"/>
      <c r="P15" s="244"/>
      <c r="Q15" s="244"/>
      <c r="R15" s="244"/>
      <c r="S15" s="244"/>
      <c r="T15" s="244"/>
      <c r="U15" s="244"/>
      <c r="V15" s="244"/>
      <c r="W15" s="244"/>
      <c r="X15" s="244"/>
      <c r="Y15" s="244"/>
      <c r="Z15" s="244"/>
      <c r="AA15" s="244"/>
      <c r="AB15" s="244"/>
    </row>
    <row r="16" spans="1:28" ht="13.35" customHeight="1">
      <c r="A16" s="50" t="s">
        <v>5</v>
      </c>
      <c r="B16" s="141"/>
      <c r="C16" s="80"/>
      <c r="D16" s="93"/>
      <c r="E16" s="226"/>
      <c r="F16" s="89"/>
      <c r="G16" s="81"/>
      <c r="H16" s="82"/>
      <c r="I16" s="83" t="str">
        <f t="shared" si="2"/>
        <v/>
      </c>
      <c r="J16" s="361" t="str">
        <f t="shared" si="3"/>
        <v/>
      </c>
      <c r="K16" s="200">
        <v>13</v>
      </c>
      <c r="L16" s="133">
        <f t="shared" si="4"/>
        <v>0</v>
      </c>
      <c r="M16" s="135" t="s">
        <v>5</v>
      </c>
      <c r="O16" s="244"/>
      <c r="P16" s="244"/>
      <c r="Q16" s="244"/>
      <c r="R16" s="244"/>
      <c r="S16" s="244"/>
      <c r="T16" s="244"/>
      <c r="U16" s="244"/>
      <c r="V16" s="244"/>
      <c r="W16" s="244"/>
      <c r="X16" s="244"/>
      <c r="Y16" s="244"/>
      <c r="Z16" s="244"/>
      <c r="AA16" s="244"/>
      <c r="AB16" s="244"/>
    </row>
    <row r="17" spans="1:28" ht="13.35" customHeight="1">
      <c r="A17" s="50" t="s">
        <v>5</v>
      </c>
      <c r="B17" s="141"/>
      <c r="C17" s="80"/>
      <c r="D17" s="93"/>
      <c r="E17" s="226"/>
      <c r="F17" s="89"/>
      <c r="G17" s="81"/>
      <c r="H17" s="82"/>
      <c r="I17" s="83" t="str">
        <f t="shared" si="2"/>
        <v/>
      </c>
      <c r="J17" s="361" t="str">
        <f t="shared" si="3"/>
        <v/>
      </c>
      <c r="K17" s="200">
        <v>14</v>
      </c>
      <c r="L17" s="133">
        <f t="shared" si="4"/>
        <v>0</v>
      </c>
      <c r="M17" s="135" t="s">
        <v>5</v>
      </c>
      <c r="O17" s="244"/>
      <c r="P17" s="244"/>
      <c r="Q17" s="244"/>
      <c r="R17" s="244"/>
      <c r="S17" s="244"/>
      <c r="T17" s="244"/>
      <c r="U17" s="244"/>
      <c r="V17" s="244"/>
      <c r="W17" s="244"/>
      <c r="X17" s="244"/>
      <c r="Y17" s="244"/>
      <c r="Z17" s="244"/>
      <c r="AA17" s="244"/>
      <c r="AB17" s="244"/>
    </row>
    <row r="18" spans="1:28" ht="13.35" customHeight="1">
      <c r="A18" s="50" t="s">
        <v>5</v>
      </c>
      <c r="B18" s="141"/>
      <c r="C18" s="80"/>
      <c r="D18" s="93"/>
      <c r="E18" s="226"/>
      <c r="F18" s="89"/>
      <c r="G18" s="81"/>
      <c r="H18" s="82"/>
      <c r="I18" s="83" t="str">
        <f t="shared" si="2"/>
        <v/>
      </c>
      <c r="J18" s="361" t="str">
        <f t="shared" si="3"/>
        <v/>
      </c>
      <c r="K18" s="200">
        <v>15</v>
      </c>
      <c r="L18" s="133">
        <f t="shared" si="4"/>
        <v>0</v>
      </c>
      <c r="M18" s="135" t="s">
        <v>5</v>
      </c>
      <c r="O18" s="244"/>
      <c r="P18" s="244"/>
      <c r="Q18" s="244"/>
      <c r="R18" s="244"/>
      <c r="S18" s="244"/>
      <c r="T18" s="244"/>
      <c r="U18" s="244"/>
      <c r="V18" s="244"/>
      <c r="W18" s="244"/>
      <c r="X18" s="244"/>
      <c r="Y18" s="244"/>
      <c r="Z18" s="244"/>
      <c r="AA18" s="244"/>
      <c r="AB18" s="244"/>
    </row>
    <row r="19" spans="1:28" ht="13.35" customHeight="1">
      <c r="A19" s="50" t="s">
        <v>5</v>
      </c>
      <c r="B19" s="141"/>
      <c r="C19" s="80"/>
      <c r="D19" s="93"/>
      <c r="E19" s="226"/>
      <c r="F19" s="89"/>
      <c r="G19" s="81"/>
      <c r="H19" s="82"/>
      <c r="I19" s="83" t="str">
        <f t="shared" si="2"/>
        <v/>
      </c>
      <c r="J19" s="361" t="str">
        <f t="shared" si="3"/>
        <v/>
      </c>
      <c r="K19" s="200">
        <v>16</v>
      </c>
      <c r="L19" s="133">
        <f t="shared" si="4"/>
        <v>0</v>
      </c>
      <c r="M19" s="135" t="s">
        <v>5</v>
      </c>
      <c r="O19" s="244"/>
      <c r="P19" s="244"/>
      <c r="Q19" s="244"/>
      <c r="R19" s="244"/>
      <c r="S19" s="244"/>
      <c r="T19" s="244"/>
      <c r="U19" s="244"/>
      <c r="V19" s="244"/>
      <c r="W19" s="244"/>
      <c r="X19" s="244"/>
      <c r="Y19" s="244"/>
      <c r="Z19" s="244"/>
      <c r="AA19" s="244"/>
      <c r="AB19" s="244"/>
    </row>
    <row r="20" spans="1:28" ht="13.35" customHeight="1">
      <c r="A20" s="50" t="s">
        <v>5</v>
      </c>
      <c r="B20" s="141"/>
      <c r="C20" s="80"/>
      <c r="D20" s="93"/>
      <c r="E20" s="226"/>
      <c r="F20" s="89"/>
      <c r="G20" s="81"/>
      <c r="H20" s="82"/>
      <c r="I20" s="83" t="str">
        <f t="shared" si="2"/>
        <v/>
      </c>
      <c r="J20" s="361" t="str">
        <f t="shared" si="3"/>
        <v/>
      </c>
      <c r="K20" s="200">
        <v>17</v>
      </c>
      <c r="L20" s="133">
        <f t="shared" si="4"/>
        <v>0</v>
      </c>
      <c r="M20" s="135" t="s">
        <v>5</v>
      </c>
      <c r="O20" s="244"/>
      <c r="P20" s="244"/>
      <c r="Q20" s="244"/>
      <c r="R20" s="244"/>
      <c r="S20" s="244"/>
      <c r="T20" s="244"/>
      <c r="U20" s="244"/>
      <c r="V20" s="244"/>
      <c r="W20" s="244"/>
      <c r="X20" s="244"/>
      <c r="Y20" s="244"/>
      <c r="Z20" s="244"/>
      <c r="AA20" s="244"/>
      <c r="AB20" s="244"/>
    </row>
    <row r="21" spans="1:28" ht="13.35" customHeight="1">
      <c r="A21" s="50" t="s">
        <v>5</v>
      </c>
      <c r="B21" s="141"/>
      <c r="C21" s="80"/>
      <c r="D21" s="93"/>
      <c r="E21" s="226"/>
      <c r="F21" s="89"/>
      <c r="G21" s="81"/>
      <c r="H21" s="82"/>
      <c r="I21" s="83" t="str">
        <f t="shared" si="2"/>
        <v/>
      </c>
      <c r="J21" s="361" t="str">
        <f t="shared" si="3"/>
        <v/>
      </c>
      <c r="K21" s="200">
        <v>18</v>
      </c>
      <c r="L21" s="133">
        <f t="shared" si="4"/>
        <v>0</v>
      </c>
      <c r="M21" s="135" t="s">
        <v>5</v>
      </c>
      <c r="O21" s="244"/>
      <c r="P21" s="244"/>
      <c r="Q21" s="244"/>
      <c r="R21" s="244"/>
      <c r="S21" s="244"/>
      <c r="T21" s="244"/>
      <c r="U21" s="244"/>
      <c r="V21" s="244"/>
      <c r="W21" s="244"/>
      <c r="X21" s="244"/>
      <c r="Y21" s="244"/>
      <c r="Z21" s="244"/>
      <c r="AA21" s="244"/>
      <c r="AB21" s="244"/>
    </row>
    <row r="22" spans="1:28" ht="13.35" customHeight="1">
      <c r="A22" s="50" t="s">
        <v>5</v>
      </c>
      <c r="B22" s="141"/>
      <c r="C22" s="80"/>
      <c r="D22" s="93"/>
      <c r="E22" s="226"/>
      <c r="F22" s="89"/>
      <c r="G22" s="81"/>
      <c r="H22" s="82"/>
      <c r="I22" s="83" t="str">
        <f t="shared" si="2"/>
        <v/>
      </c>
      <c r="J22" s="361" t="str">
        <f t="shared" si="3"/>
        <v/>
      </c>
      <c r="K22" s="200">
        <v>19</v>
      </c>
      <c r="L22" s="133">
        <f t="shared" si="4"/>
        <v>0</v>
      </c>
      <c r="M22" s="135" t="s">
        <v>5</v>
      </c>
      <c r="O22" s="244"/>
      <c r="P22" s="244"/>
      <c r="Q22" s="244"/>
      <c r="R22" s="244"/>
      <c r="S22" s="244"/>
      <c r="T22" s="244"/>
      <c r="U22" s="244"/>
      <c r="V22" s="244"/>
      <c r="W22" s="244"/>
      <c r="X22" s="244"/>
      <c r="Y22" s="244"/>
      <c r="Z22" s="244"/>
      <c r="AA22" s="244"/>
      <c r="AB22" s="244"/>
    </row>
    <row r="23" spans="1:28" ht="13.35" customHeight="1">
      <c r="A23" s="50" t="s">
        <v>5</v>
      </c>
      <c r="B23" s="141"/>
      <c r="C23" s="80"/>
      <c r="D23" s="94"/>
      <c r="E23" s="226"/>
      <c r="F23" s="89"/>
      <c r="G23" s="81"/>
      <c r="H23" s="82"/>
      <c r="I23" s="83" t="str">
        <f t="shared" si="2"/>
        <v/>
      </c>
      <c r="J23" s="361" t="str">
        <f t="shared" si="3"/>
        <v/>
      </c>
      <c r="K23" s="200">
        <v>20</v>
      </c>
      <c r="L23" s="133">
        <f t="shared" si="4"/>
        <v>0</v>
      </c>
      <c r="M23" s="135" t="s">
        <v>5</v>
      </c>
      <c r="O23" s="244"/>
      <c r="P23" s="244"/>
      <c r="Q23" s="244"/>
      <c r="R23" s="244"/>
      <c r="S23" s="244"/>
      <c r="T23" s="244"/>
      <c r="U23" s="244"/>
      <c r="V23" s="244"/>
      <c r="W23" s="244"/>
      <c r="X23" s="244"/>
      <c r="Y23" s="244"/>
      <c r="Z23" s="244"/>
      <c r="AA23" s="244"/>
      <c r="AB23" s="244"/>
    </row>
    <row r="24" spans="1:28" ht="13.35" customHeight="1">
      <c r="A24" s="50" t="s">
        <v>5</v>
      </c>
      <c r="B24" s="141"/>
      <c r="C24" s="80"/>
      <c r="D24" s="93"/>
      <c r="E24" s="226"/>
      <c r="F24" s="89"/>
      <c r="G24" s="81"/>
      <c r="H24" s="82"/>
      <c r="I24" s="83" t="str">
        <f t="shared" si="2"/>
        <v/>
      </c>
      <c r="J24" s="361" t="str">
        <f t="shared" si="3"/>
        <v/>
      </c>
      <c r="K24" s="200">
        <v>21</v>
      </c>
      <c r="L24" s="133">
        <f t="shared" si="4"/>
        <v>0</v>
      </c>
      <c r="M24" s="135" t="s">
        <v>5</v>
      </c>
      <c r="O24" s="244"/>
      <c r="P24" s="244"/>
      <c r="Q24" s="244"/>
      <c r="R24" s="244"/>
      <c r="S24" s="244"/>
      <c r="T24" s="244"/>
      <c r="U24" s="244"/>
      <c r="V24" s="244"/>
      <c r="W24" s="244"/>
      <c r="X24" s="244"/>
      <c r="Y24" s="244"/>
      <c r="Z24" s="244"/>
      <c r="AA24" s="244"/>
      <c r="AB24" s="244"/>
    </row>
    <row r="25" spans="1:28" ht="13.35" customHeight="1">
      <c r="A25" s="50" t="s">
        <v>5</v>
      </c>
      <c r="B25" s="141"/>
      <c r="C25" s="80"/>
      <c r="D25" s="93"/>
      <c r="E25" s="226"/>
      <c r="F25" s="89"/>
      <c r="G25" s="81"/>
      <c r="H25" s="82"/>
      <c r="I25" s="83" t="str">
        <f t="shared" si="2"/>
        <v/>
      </c>
      <c r="J25" s="361" t="str">
        <f t="shared" si="3"/>
        <v/>
      </c>
      <c r="K25" s="200">
        <v>22</v>
      </c>
      <c r="L25" s="133">
        <f t="shared" si="4"/>
        <v>0</v>
      </c>
      <c r="M25" s="135" t="s">
        <v>5</v>
      </c>
      <c r="O25" s="244"/>
      <c r="P25" s="244"/>
      <c r="Q25" s="244"/>
      <c r="R25" s="244"/>
      <c r="S25" s="244"/>
      <c r="T25" s="244"/>
      <c r="U25" s="244"/>
      <c r="V25" s="244"/>
      <c r="W25" s="244"/>
      <c r="X25" s="244"/>
      <c r="Y25" s="244"/>
      <c r="Z25" s="244"/>
      <c r="AA25" s="244"/>
      <c r="AB25" s="244"/>
    </row>
    <row r="26" spans="1:28" ht="13.35" customHeight="1">
      <c r="A26" s="50" t="s">
        <v>5</v>
      </c>
      <c r="B26" s="141"/>
      <c r="C26" s="80"/>
      <c r="D26" s="93"/>
      <c r="E26" s="226"/>
      <c r="F26" s="89"/>
      <c r="G26" s="81"/>
      <c r="H26" s="82"/>
      <c r="I26" s="83" t="str">
        <f t="shared" si="2"/>
        <v/>
      </c>
      <c r="J26" s="361" t="str">
        <f t="shared" si="3"/>
        <v/>
      </c>
      <c r="K26" s="200">
        <v>23</v>
      </c>
      <c r="L26" s="133">
        <f t="shared" si="4"/>
        <v>0</v>
      </c>
      <c r="M26" s="135" t="s">
        <v>5</v>
      </c>
      <c r="O26" s="244"/>
      <c r="P26" s="244"/>
      <c r="Q26" s="244"/>
      <c r="R26" s="244"/>
      <c r="S26" s="244"/>
      <c r="T26" s="244"/>
      <c r="U26" s="244"/>
      <c r="V26" s="244"/>
      <c r="W26" s="244"/>
      <c r="X26" s="244"/>
      <c r="Y26" s="244"/>
      <c r="Z26" s="244"/>
      <c r="AA26" s="244"/>
      <c r="AB26" s="244"/>
    </row>
    <row r="27" spans="1:28" ht="13.35" customHeight="1">
      <c r="A27" s="50" t="s">
        <v>5</v>
      </c>
      <c r="B27" s="141"/>
      <c r="C27" s="80"/>
      <c r="D27" s="93"/>
      <c r="E27" s="226"/>
      <c r="F27" s="89"/>
      <c r="G27" s="81"/>
      <c r="H27" s="82"/>
      <c r="I27" s="83" t="str">
        <f t="shared" si="2"/>
        <v/>
      </c>
      <c r="J27" s="361" t="str">
        <f t="shared" si="3"/>
        <v/>
      </c>
      <c r="K27" s="200">
        <v>24</v>
      </c>
      <c r="L27" s="133">
        <f t="shared" si="4"/>
        <v>0</v>
      </c>
      <c r="M27" s="135" t="s">
        <v>5</v>
      </c>
      <c r="O27" s="244"/>
      <c r="P27" s="244"/>
      <c r="Q27" s="244"/>
      <c r="R27" s="244"/>
      <c r="S27" s="244"/>
      <c r="T27" s="244"/>
      <c r="U27" s="244"/>
      <c r="V27" s="244"/>
      <c r="W27" s="244"/>
      <c r="X27" s="244"/>
      <c r="Y27" s="244"/>
      <c r="Z27" s="244"/>
      <c r="AA27" s="244"/>
      <c r="AB27" s="244"/>
    </row>
    <row r="28" spans="1:28" ht="13.35" customHeight="1">
      <c r="A28" s="50" t="s">
        <v>5</v>
      </c>
      <c r="B28" s="141"/>
      <c r="C28" s="80"/>
      <c r="D28" s="93"/>
      <c r="E28" s="226"/>
      <c r="F28" s="89"/>
      <c r="G28" s="81"/>
      <c r="H28" s="82"/>
      <c r="I28" s="83" t="str">
        <f t="shared" si="2"/>
        <v/>
      </c>
      <c r="J28" s="361" t="str">
        <f t="shared" si="3"/>
        <v/>
      </c>
      <c r="K28" s="200">
        <v>25</v>
      </c>
      <c r="L28" s="133">
        <f t="shared" si="4"/>
        <v>0</v>
      </c>
      <c r="M28" s="135" t="s">
        <v>5</v>
      </c>
      <c r="O28" s="244"/>
      <c r="P28" s="244"/>
      <c r="Q28" s="244"/>
      <c r="R28" s="244"/>
      <c r="S28" s="244"/>
      <c r="T28" s="244"/>
      <c r="U28" s="244"/>
      <c r="V28" s="244"/>
      <c r="W28" s="244"/>
      <c r="X28" s="244"/>
      <c r="Y28" s="244"/>
      <c r="Z28" s="244"/>
      <c r="AA28" s="244"/>
      <c r="AB28" s="244"/>
    </row>
    <row r="29" spans="1:28" ht="13.35" customHeight="1">
      <c r="A29" s="50" t="s">
        <v>5</v>
      </c>
      <c r="B29" s="141"/>
      <c r="C29" s="80"/>
      <c r="D29" s="93"/>
      <c r="E29" s="226"/>
      <c r="F29" s="89"/>
      <c r="G29" s="81"/>
      <c r="H29" s="82"/>
      <c r="I29" s="83" t="str">
        <f t="shared" si="2"/>
        <v/>
      </c>
      <c r="J29" s="361" t="str">
        <f t="shared" si="3"/>
        <v/>
      </c>
      <c r="K29" s="200">
        <v>26</v>
      </c>
      <c r="L29" s="133">
        <f t="shared" si="4"/>
        <v>0</v>
      </c>
      <c r="M29" s="135" t="s">
        <v>5</v>
      </c>
      <c r="O29" s="244"/>
      <c r="P29" s="244"/>
      <c r="Q29" s="244"/>
      <c r="R29" s="244"/>
      <c r="S29" s="244"/>
      <c r="T29" s="244"/>
      <c r="U29" s="244"/>
      <c r="V29" s="244"/>
      <c r="W29" s="244"/>
      <c r="X29" s="244"/>
      <c r="Y29" s="244"/>
      <c r="Z29" s="244"/>
      <c r="AA29" s="244"/>
      <c r="AB29" s="244"/>
    </row>
    <row r="30" spans="1:28" ht="13.35" customHeight="1">
      <c r="A30" s="50" t="s">
        <v>5</v>
      </c>
      <c r="B30" s="141"/>
      <c r="C30" s="80"/>
      <c r="D30" s="93"/>
      <c r="E30" s="226"/>
      <c r="F30" s="89"/>
      <c r="G30" s="81"/>
      <c r="H30" s="82"/>
      <c r="I30" s="83" t="str">
        <f t="shared" si="2"/>
        <v/>
      </c>
      <c r="J30" s="361" t="str">
        <f t="shared" si="3"/>
        <v/>
      </c>
      <c r="K30" s="200">
        <v>27</v>
      </c>
      <c r="L30" s="133">
        <f t="shared" si="4"/>
        <v>0</v>
      </c>
      <c r="M30" s="135" t="s">
        <v>5</v>
      </c>
      <c r="O30" s="244"/>
      <c r="P30" s="244"/>
      <c r="Q30" s="244"/>
      <c r="R30" s="244"/>
      <c r="S30" s="244"/>
      <c r="T30" s="244"/>
      <c r="U30" s="244"/>
      <c r="V30" s="244"/>
      <c r="W30" s="244"/>
      <c r="X30" s="244"/>
      <c r="Y30" s="244"/>
      <c r="Z30" s="244"/>
      <c r="AA30" s="244"/>
      <c r="AB30" s="244"/>
    </row>
    <row r="31" spans="1:28" ht="13.35" customHeight="1">
      <c r="A31" s="50" t="s">
        <v>5</v>
      </c>
      <c r="B31" s="141"/>
      <c r="C31" s="80"/>
      <c r="D31" s="93"/>
      <c r="E31" s="226"/>
      <c r="F31" s="89"/>
      <c r="G31" s="81"/>
      <c r="H31" s="82"/>
      <c r="I31" s="83" t="str">
        <f t="shared" si="2"/>
        <v/>
      </c>
      <c r="J31" s="361" t="str">
        <f t="shared" si="3"/>
        <v/>
      </c>
      <c r="K31" s="200">
        <v>28</v>
      </c>
      <c r="L31" s="133">
        <f t="shared" si="4"/>
        <v>0</v>
      </c>
      <c r="M31" s="135" t="s">
        <v>5</v>
      </c>
      <c r="O31" s="244"/>
      <c r="P31" s="244"/>
      <c r="Q31" s="244"/>
      <c r="R31" s="244"/>
      <c r="S31" s="244"/>
      <c r="T31" s="244"/>
      <c r="U31" s="244"/>
      <c r="V31" s="244"/>
      <c r="W31" s="244"/>
      <c r="X31" s="244"/>
      <c r="Y31" s="244"/>
      <c r="Z31" s="244"/>
      <c r="AA31" s="244"/>
      <c r="AB31" s="244"/>
    </row>
    <row r="32" spans="1:28" ht="13.35" customHeight="1">
      <c r="A32" s="50" t="s">
        <v>5</v>
      </c>
      <c r="B32" s="141"/>
      <c r="C32" s="80"/>
      <c r="D32" s="93"/>
      <c r="E32" s="226"/>
      <c r="F32" s="89"/>
      <c r="G32" s="81"/>
      <c r="H32" s="82"/>
      <c r="I32" s="83" t="str">
        <f t="shared" si="2"/>
        <v/>
      </c>
      <c r="J32" s="361" t="str">
        <f t="shared" si="3"/>
        <v/>
      </c>
      <c r="K32" s="200">
        <v>29</v>
      </c>
      <c r="L32" s="133">
        <f t="shared" si="4"/>
        <v>0</v>
      </c>
      <c r="M32" s="135" t="s">
        <v>5</v>
      </c>
      <c r="O32" s="244"/>
      <c r="P32" s="244"/>
      <c r="Q32" s="244"/>
      <c r="R32" s="244"/>
      <c r="S32" s="244"/>
      <c r="T32" s="244"/>
      <c r="U32" s="244"/>
      <c r="V32" s="244"/>
      <c r="W32" s="244"/>
      <c r="X32" s="244"/>
      <c r="Y32" s="244"/>
      <c r="Z32" s="244"/>
      <c r="AA32" s="244"/>
      <c r="AB32" s="244"/>
    </row>
    <row r="33" spans="1:28" ht="13.35" customHeight="1">
      <c r="A33" s="50" t="s">
        <v>5</v>
      </c>
      <c r="B33" s="141"/>
      <c r="C33" s="80"/>
      <c r="D33" s="93"/>
      <c r="E33" s="226"/>
      <c r="F33" s="89"/>
      <c r="G33" s="81"/>
      <c r="H33" s="82"/>
      <c r="I33" s="83" t="str">
        <f t="shared" si="2"/>
        <v/>
      </c>
      <c r="J33" s="361" t="str">
        <f t="shared" si="3"/>
        <v/>
      </c>
      <c r="K33" s="200">
        <v>30</v>
      </c>
      <c r="L33" s="133">
        <f t="shared" si="4"/>
        <v>0</v>
      </c>
      <c r="M33" s="135" t="s">
        <v>5</v>
      </c>
      <c r="O33" s="244"/>
      <c r="P33" s="244"/>
      <c r="Q33" s="244"/>
      <c r="R33" s="244"/>
      <c r="S33" s="244"/>
      <c r="T33" s="244"/>
      <c r="U33" s="244"/>
      <c r="V33" s="244"/>
      <c r="W33" s="244"/>
      <c r="X33" s="244"/>
      <c r="Y33" s="244"/>
      <c r="Z33" s="244"/>
      <c r="AA33" s="244"/>
      <c r="AB33" s="244"/>
    </row>
    <row r="34" spans="1:28" ht="13.35" customHeight="1">
      <c r="A34" s="50" t="s">
        <v>5</v>
      </c>
      <c r="B34" s="141"/>
      <c r="C34" s="80"/>
      <c r="D34" s="93"/>
      <c r="E34" s="226"/>
      <c r="F34" s="89"/>
      <c r="G34" s="81"/>
      <c r="H34" s="82"/>
      <c r="I34" s="83" t="str">
        <f t="shared" si="2"/>
        <v/>
      </c>
      <c r="J34" s="361" t="str">
        <f t="shared" si="3"/>
        <v/>
      </c>
      <c r="K34" s="200">
        <v>31</v>
      </c>
      <c r="L34" s="133">
        <f t="shared" si="4"/>
        <v>0</v>
      </c>
      <c r="M34" s="135" t="s">
        <v>5</v>
      </c>
      <c r="O34" s="244"/>
      <c r="P34" s="244"/>
      <c r="Q34" s="244"/>
      <c r="R34" s="244"/>
      <c r="S34" s="244"/>
      <c r="T34" s="244"/>
      <c r="U34" s="244"/>
      <c r="V34" s="244"/>
      <c r="W34" s="244"/>
      <c r="X34" s="244"/>
      <c r="Y34" s="244"/>
      <c r="Z34" s="244"/>
      <c r="AA34" s="244"/>
      <c r="AB34" s="244"/>
    </row>
    <row r="35" spans="1:28" ht="13.35" customHeight="1">
      <c r="A35" s="50" t="s">
        <v>5</v>
      </c>
      <c r="B35" s="141"/>
      <c r="C35" s="80"/>
      <c r="D35" s="93"/>
      <c r="E35" s="226"/>
      <c r="F35" s="89"/>
      <c r="G35" s="81"/>
      <c r="H35" s="82"/>
      <c r="I35" s="83" t="str">
        <f t="shared" si="2"/>
        <v/>
      </c>
      <c r="J35" s="361" t="str">
        <f t="shared" si="3"/>
        <v/>
      </c>
      <c r="K35" s="200">
        <v>32</v>
      </c>
      <c r="L35" s="133">
        <f t="shared" si="4"/>
        <v>0</v>
      </c>
      <c r="M35" s="135" t="s">
        <v>5</v>
      </c>
      <c r="O35" s="244"/>
      <c r="P35" s="244"/>
      <c r="Q35" s="244"/>
      <c r="R35" s="244"/>
      <c r="S35" s="244"/>
      <c r="T35" s="244"/>
      <c r="U35" s="244"/>
      <c r="V35" s="244"/>
      <c r="W35" s="244"/>
      <c r="X35" s="244"/>
      <c r="Y35" s="244"/>
      <c r="Z35" s="244"/>
      <c r="AA35" s="244"/>
      <c r="AB35" s="244"/>
    </row>
    <row r="36" spans="1:28" ht="13.35" customHeight="1">
      <c r="A36" s="50" t="s">
        <v>5</v>
      </c>
      <c r="B36" s="141"/>
      <c r="C36" s="80"/>
      <c r="D36" s="93"/>
      <c r="E36" s="226"/>
      <c r="F36" s="89"/>
      <c r="G36" s="81"/>
      <c r="H36" s="82"/>
      <c r="I36" s="83" t="str">
        <f t="shared" si="2"/>
        <v/>
      </c>
      <c r="J36" s="361" t="str">
        <f t="shared" si="3"/>
        <v/>
      </c>
      <c r="K36" s="200">
        <v>33</v>
      </c>
      <c r="L36" s="133">
        <f t="shared" si="4"/>
        <v>0</v>
      </c>
      <c r="M36" s="135" t="s">
        <v>5</v>
      </c>
      <c r="O36" s="244"/>
      <c r="P36" s="244"/>
      <c r="Q36" s="244"/>
      <c r="R36" s="244"/>
      <c r="S36" s="244"/>
      <c r="T36" s="244"/>
      <c r="U36" s="244"/>
      <c r="V36" s="244"/>
      <c r="W36" s="244"/>
      <c r="X36" s="244"/>
      <c r="Y36" s="244"/>
      <c r="Z36" s="244"/>
      <c r="AA36" s="244"/>
      <c r="AB36" s="244"/>
    </row>
    <row r="37" spans="1:28" ht="13.35" customHeight="1">
      <c r="A37" s="50" t="s">
        <v>5</v>
      </c>
      <c r="B37" s="141"/>
      <c r="C37" s="80"/>
      <c r="D37" s="93"/>
      <c r="E37" s="226"/>
      <c r="F37" s="89"/>
      <c r="G37" s="81"/>
      <c r="H37" s="82"/>
      <c r="I37" s="83" t="str">
        <f t="shared" si="2"/>
        <v/>
      </c>
      <c r="J37" s="361" t="str">
        <f t="shared" si="3"/>
        <v/>
      </c>
      <c r="K37" s="200">
        <v>34</v>
      </c>
      <c r="L37" s="133">
        <f t="shared" si="4"/>
        <v>0</v>
      </c>
      <c r="M37" s="135" t="s">
        <v>5</v>
      </c>
      <c r="O37" s="244"/>
      <c r="P37" s="244"/>
      <c r="Q37" s="244"/>
      <c r="R37" s="244"/>
      <c r="S37" s="244"/>
      <c r="T37" s="244"/>
      <c r="U37" s="244"/>
      <c r="V37" s="244"/>
      <c r="W37" s="244"/>
      <c r="X37" s="244"/>
      <c r="Y37" s="244"/>
      <c r="Z37" s="244"/>
      <c r="AA37" s="244"/>
      <c r="AB37" s="244"/>
    </row>
    <row r="38" spans="1:28" ht="13.35" customHeight="1">
      <c r="A38" s="50" t="s">
        <v>5</v>
      </c>
      <c r="B38" s="141"/>
      <c r="C38" s="80"/>
      <c r="D38" s="93"/>
      <c r="E38" s="226"/>
      <c r="F38" s="89"/>
      <c r="G38" s="81"/>
      <c r="H38" s="82"/>
      <c r="I38" s="83" t="str">
        <f t="shared" si="2"/>
        <v/>
      </c>
      <c r="J38" s="361" t="str">
        <f t="shared" si="3"/>
        <v/>
      </c>
      <c r="K38" s="200">
        <v>35</v>
      </c>
      <c r="L38" s="133">
        <f t="shared" si="4"/>
        <v>0</v>
      </c>
      <c r="M38" s="135" t="s">
        <v>5</v>
      </c>
      <c r="O38" s="244"/>
      <c r="P38" s="244"/>
      <c r="Q38" s="244"/>
      <c r="R38" s="244"/>
      <c r="S38" s="244"/>
      <c r="T38" s="244"/>
      <c r="U38" s="244"/>
      <c r="V38" s="244"/>
      <c r="W38" s="244"/>
      <c r="X38" s="244"/>
      <c r="Y38" s="244"/>
      <c r="Z38" s="244"/>
      <c r="AA38" s="244"/>
      <c r="AB38" s="244"/>
    </row>
    <row r="39" spans="1:28" ht="13.35" customHeight="1">
      <c r="A39" s="50" t="s">
        <v>5</v>
      </c>
      <c r="B39" s="141"/>
      <c r="C39" s="80"/>
      <c r="D39" s="93"/>
      <c r="E39" s="226"/>
      <c r="F39" s="89"/>
      <c r="G39" s="81"/>
      <c r="H39" s="82"/>
      <c r="I39" s="83" t="str">
        <f t="shared" si="2"/>
        <v/>
      </c>
      <c r="J39" s="361" t="str">
        <f t="shared" si="3"/>
        <v/>
      </c>
      <c r="K39" s="200">
        <v>36</v>
      </c>
      <c r="L39" s="133">
        <f t="shared" si="4"/>
        <v>0</v>
      </c>
      <c r="M39" s="135" t="s">
        <v>5</v>
      </c>
      <c r="O39" s="244"/>
      <c r="P39" s="244"/>
      <c r="Q39" s="244"/>
      <c r="R39" s="244"/>
      <c r="S39" s="244"/>
      <c r="T39" s="244"/>
      <c r="U39" s="244"/>
      <c r="V39" s="244"/>
      <c r="W39" s="244"/>
      <c r="X39" s="244"/>
      <c r="Y39" s="244"/>
      <c r="Z39" s="244"/>
      <c r="AA39" s="244"/>
      <c r="AB39" s="244"/>
    </row>
    <row r="40" spans="1:28" ht="13.35" customHeight="1">
      <c r="A40" s="50" t="s">
        <v>5</v>
      </c>
      <c r="B40" s="141"/>
      <c r="C40" s="80"/>
      <c r="D40" s="93"/>
      <c r="E40" s="226"/>
      <c r="F40" s="89"/>
      <c r="G40" s="81"/>
      <c r="H40" s="82"/>
      <c r="I40" s="83" t="str">
        <f t="shared" si="2"/>
        <v/>
      </c>
      <c r="J40" s="361" t="str">
        <f t="shared" si="3"/>
        <v/>
      </c>
      <c r="K40" s="200">
        <v>37</v>
      </c>
      <c r="L40" s="133">
        <f t="shared" si="4"/>
        <v>0</v>
      </c>
      <c r="M40" s="135" t="s">
        <v>5</v>
      </c>
      <c r="O40" s="244"/>
      <c r="P40" s="244"/>
      <c r="Q40" s="244"/>
      <c r="R40" s="244"/>
      <c r="S40" s="244"/>
      <c r="T40" s="244"/>
      <c r="U40" s="244"/>
      <c r="V40" s="244"/>
      <c r="W40" s="244"/>
      <c r="X40" s="244"/>
      <c r="Y40" s="244"/>
      <c r="Z40" s="244"/>
      <c r="AA40" s="244"/>
      <c r="AB40" s="244"/>
    </row>
    <row r="41" spans="1:28" ht="13.35" customHeight="1">
      <c r="A41" s="50" t="s">
        <v>5</v>
      </c>
      <c r="B41" s="141"/>
      <c r="C41" s="80"/>
      <c r="D41" s="93"/>
      <c r="E41" s="226"/>
      <c r="F41" s="89"/>
      <c r="G41" s="81"/>
      <c r="H41" s="82"/>
      <c r="I41" s="83" t="str">
        <f t="shared" si="2"/>
        <v/>
      </c>
      <c r="J41" s="361" t="str">
        <f t="shared" si="3"/>
        <v/>
      </c>
      <c r="K41" s="200">
        <v>38</v>
      </c>
      <c r="L41" s="133">
        <f t="shared" si="4"/>
        <v>0</v>
      </c>
      <c r="M41" s="135" t="s">
        <v>5</v>
      </c>
      <c r="O41" s="244"/>
      <c r="P41" s="244"/>
      <c r="Q41" s="244"/>
      <c r="R41" s="244"/>
      <c r="S41" s="244"/>
      <c r="T41" s="244"/>
      <c r="U41" s="244"/>
      <c r="V41" s="244"/>
      <c r="W41" s="244"/>
      <c r="X41" s="244"/>
      <c r="Y41" s="244"/>
      <c r="Z41" s="244"/>
      <c r="AA41" s="244"/>
      <c r="AB41" s="244"/>
    </row>
    <row r="42" spans="1:28" ht="13.35" customHeight="1">
      <c r="A42" s="50" t="s">
        <v>5</v>
      </c>
      <c r="B42" s="141"/>
      <c r="C42" s="80"/>
      <c r="D42" s="93"/>
      <c r="E42" s="226"/>
      <c r="F42" s="89"/>
      <c r="G42" s="81"/>
      <c r="H42" s="82"/>
      <c r="I42" s="83" t="str">
        <f t="shared" si="2"/>
        <v/>
      </c>
      <c r="J42" s="361" t="str">
        <f t="shared" si="3"/>
        <v/>
      </c>
      <c r="K42" s="200">
        <v>39</v>
      </c>
      <c r="L42" s="133">
        <f t="shared" si="4"/>
        <v>0</v>
      </c>
      <c r="M42" s="135" t="s">
        <v>5</v>
      </c>
      <c r="O42" s="244"/>
      <c r="P42" s="244"/>
      <c r="Q42" s="244"/>
      <c r="R42" s="244"/>
      <c r="S42" s="244"/>
      <c r="T42" s="244"/>
      <c r="U42" s="244"/>
      <c r="V42" s="244"/>
      <c r="W42" s="244"/>
      <c r="X42" s="244"/>
      <c r="Y42" s="244"/>
      <c r="Z42" s="244"/>
      <c r="AA42" s="244"/>
      <c r="AB42" s="244"/>
    </row>
    <row r="43" spans="1:28" ht="13.35" customHeight="1">
      <c r="A43" s="50" t="s">
        <v>5</v>
      </c>
      <c r="B43" s="141"/>
      <c r="C43" s="80"/>
      <c r="D43" s="93"/>
      <c r="E43" s="226"/>
      <c r="F43" s="89"/>
      <c r="G43" s="81"/>
      <c r="H43" s="82"/>
      <c r="I43" s="83" t="str">
        <f t="shared" si="2"/>
        <v/>
      </c>
      <c r="J43" s="361" t="str">
        <f t="shared" si="3"/>
        <v/>
      </c>
      <c r="K43" s="200">
        <v>40</v>
      </c>
      <c r="L43" s="133">
        <f t="shared" si="4"/>
        <v>0</v>
      </c>
      <c r="M43" s="135" t="s">
        <v>5</v>
      </c>
      <c r="O43" s="244"/>
      <c r="P43" s="244"/>
      <c r="Q43" s="244"/>
      <c r="R43" s="244"/>
      <c r="S43" s="244"/>
      <c r="T43" s="244"/>
      <c r="U43" s="244"/>
      <c r="V43" s="244"/>
      <c r="W43" s="244"/>
      <c r="X43" s="244"/>
      <c r="Y43" s="244"/>
      <c r="Z43" s="244"/>
      <c r="AA43" s="244"/>
      <c r="AB43" s="244"/>
    </row>
    <row r="44" spans="1:28" ht="13.35" customHeight="1">
      <c r="A44" s="50" t="s">
        <v>5</v>
      </c>
      <c r="B44" s="141"/>
      <c r="C44" s="80"/>
      <c r="D44" s="93"/>
      <c r="E44" s="226"/>
      <c r="F44" s="89"/>
      <c r="G44" s="81"/>
      <c r="H44" s="82"/>
      <c r="I44" s="83" t="str">
        <f t="shared" si="2"/>
        <v/>
      </c>
      <c r="J44" s="361" t="str">
        <f t="shared" si="3"/>
        <v/>
      </c>
      <c r="K44" s="200">
        <v>41</v>
      </c>
      <c r="L44" s="133">
        <f t="shared" si="4"/>
        <v>0</v>
      </c>
      <c r="M44" s="135" t="s">
        <v>5</v>
      </c>
      <c r="O44" s="244"/>
      <c r="P44" s="244"/>
      <c r="Q44" s="244"/>
      <c r="R44" s="244"/>
      <c r="S44" s="244"/>
      <c r="T44" s="244"/>
      <c r="U44" s="244"/>
      <c r="V44" s="244"/>
      <c r="W44" s="244"/>
      <c r="X44" s="244"/>
      <c r="Y44" s="244"/>
      <c r="Z44" s="244"/>
      <c r="AA44" s="244"/>
      <c r="AB44" s="244"/>
    </row>
    <row r="45" spans="1:28" ht="13.35" customHeight="1">
      <c r="A45" s="50" t="s">
        <v>5</v>
      </c>
      <c r="B45" s="141"/>
      <c r="C45" s="80"/>
      <c r="D45" s="93"/>
      <c r="E45" s="226"/>
      <c r="F45" s="89"/>
      <c r="G45" s="81"/>
      <c r="H45" s="82"/>
      <c r="I45" s="83" t="str">
        <f t="shared" ref="I45:I46" si="7">IF(G45&lt;&gt;"",+G45-G45/(1+H45/100),"")</f>
        <v/>
      </c>
      <c r="J45" s="361" t="str">
        <f t="shared" ref="J45:J46" si="8">IF(G45&lt;&gt;0,+G45-I45,"")</f>
        <v/>
      </c>
      <c r="K45" s="200">
        <v>44</v>
      </c>
      <c r="L45" s="133">
        <f t="shared" ref="L45:L46" si="9">IF(B45&lt;$O$2,0,IF(B45&lt;$P$2,1,IF(B45&lt;$Q$2,2,IF(B45&lt;$R$2,3,IF(B45&lt;$S$2,4,IF(B45&lt;$T$2,5,IF(B45&lt;$U$2,6,IF(B45&lt;$V$2,7,IF(B45&lt;$W$2,8,IF(B45&lt;$X$2,9,IF(B45&lt;$Y$2,10,IF(B45&lt;$Z$2,11,IF(B45&lt;=$Z$3,12,0)))))))))))))</f>
        <v>0</v>
      </c>
      <c r="M45" s="135" t="s">
        <v>5</v>
      </c>
      <c r="O45" s="244"/>
      <c r="P45" s="244"/>
      <c r="Q45" s="244"/>
      <c r="R45" s="244"/>
      <c r="S45" s="244"/>
      <c r="T45" s="244"/>
      <c r="U45" s="244"/>
      <c r="V45" s="244"/>
      <c r="W45" s="244"/>
      <c r="X45" s="244"/>
      <c r="Y45" s="244"/>
      <c r="Z45" s="244"/>
      <c r="AA45" s="244"/>
      <c r="AB45" s="244"/>
    </row>
    <row r="46" spans="1:28" ht="13.35" customHeight="1" thickBot="1">
      <c r="A46" s="50" t="s">
        <v>5</v>
      </c>
      <c r="B46" s="141"/>
      <c r="C46" s="80"/>
      <c r="D46" s="93"/>
      <c r="E46" s="226"/>
      <c r="F46" s="89"/>
      <c r="G46" s="81"/>
      <c r="H46" s="82"/>
      <c r="I46" s="83" t="str">
        <f t="shared" si="7"/>
        <v/>
      </c>
      <c r="J46" s="361" t="str">
        <f t="shared" si="8"/>
        <v/>
      </c>
      <c r="K46" s="200">
        <v>45</v>
      </c>
      <c r="L46" s="133">
        <f t="shared" si="9"/>
        <v>0</v>
      </c>
      <c r="M46" s="135" t="s">
        <v>5</v>
      </c>
      <c r="O46" s="244"/>
      <c r="P46" s="244"/>
      <c r="Q46" s="244"/>
      <c r="R46" s="244"/>
      <c r="S46" s="244"/>
      <c r="T46" s="244"/>
      <c r="U46" s="244"/>
      <c r="V46" s="244"/>
      <c r="W46" s="244"/>
      <c r="X46" s="244"/>
      <c r="Y46" s="244"/>
      <c r="Z46" s="244"/>
      <c r="AA46" s="244"/>
      <c r="AB46" s="244"/>
    </row>
    <row r="47" spans="1:28" ht="12" customHeight="1" thickTop="1" thickBot="1">
      <c r="A47" s="391" t="s">
        <v>283</v>
      </c>
      <c r="B47" s="1244" t="str">
        <f>IF($A$48=0,"^ Zeile einfügen","bis hierher ziehen!")</f>
        <v>^ Zeile einfügen</v>
      </c>
      <c r="C47" s="1244"/>
      <c r="D47" s="392" t="s">
        <v>5</v>
      </c>
      <c r="E47" s="393" t="s">
        <v>5</v>
      </c>
      <c r="F47" s="394" t="s">
        <v>5</v>
      </c>
      <c r="G47" s="394"/>
      <c r="H47" s="395"/>
      <c r="I47" s="396"/>
      <c r="J47" s="425"/>
      <c r="K47" s="201">
        <v>0</v>
      </c>
      <c r="L47" s="185" t="s">
        <v>5</v>
      </c>
      <c r="M47" s="398" t="s">
        <v>283</v>
      </c>
    </row>
    <row r="48" spans="1:28" ht="12" customHeight="1" thickTop="1" thickBot="1">
      <c r="A48" s="390">
        <f>COUNTBLANK(A3:A47)+A49</f>
        <v>0</v>
      </c>
      <c r="B48" s="193" t="str">
        <f>+EÜR!C41</f>
        <v>ü</v>
      </c>
      <c r="C48" s="194" t="s">
        <v>5</v>
      </c>
      <c r="D48" s="194" t="s">
        <v>5</v>
      </c>
      <c r="E48" s="195" t="s">
        <v>5</v>
      </c>
      <c r="F48" s="196" t="s">
        <v>5</v>
      </c>
      <c r="G48" s="197">
        <f>SUBTOTAL(9,G3:G47)</f>
        <v>0</v>
      </c>
      <c r="H48" s="1242">
        <f>SUBTOTAL(9,I3:I47)</f>
        <v>0</v>
      </c>
      <c r="I48" s="1243">
        <f>SUBTOTAL(9,I3:I47)</f>
        <v>0</v>
      </c>
      <c r="J48" s="1293">
        <f>G48-H48</f>
        <v>0</v>
      </c>
      <c r="K48" s="1294"/>
      <c r="L48" s="1295"/>
      <c r="M48" s="135" t="s">
        <v>5</v>
      </c>
    </row>
    <row r="49" spans="1:14" ht="12" customHeight="1" thickTop="1" thickBot="1">
      <c r="A49" s="390">
        <f>IF(ISERROR(J47),1,0)</f>
        <v>0</v>
      </c>
      <c r="B49" s="192">
        <f>J48-G49-E49-C49</f>
        <v>0</v>
      </c>
      <c r="C49" s="1239">
        <f>SUMIF(F4:F47,"Kreditkarte",G4:G47)</f>
        <v>0</v>
      </c>
      <c r="D49" s="1239"/>
      <c r="E49" s="1240">
        <f>SUMIF(F4:F47,"Konto",G4:G47)</f>
        <v>0</v>
      </c>
      <c r="F49" s="1240"/>
      <c r="G49" s="1241">
        <f>SUMIF(F4:F47,"Geldbeutel",G4:G47)</f>
        <v>0</v>
      </c>
      <c r="H49" s="1241"/>
      <c r="I49" s="1241"/>
      <c r="J49" s="1296"/>
      <c r="K49" s="1297"/>
      <c r="L49" s="1298"/>
      <c r="M49" s="135" t="s">
        <v>5</v>
      </c>
    </row>
    <row r="50" spans="1:14" s="15" customFormat="1" ht="5.25" customHeight="1" thickTop="1">
      <c r="A50" s="36"/>
      <c r="B50" s="2"/>
      <c r="C50" s="3"/>
      <c r="D50" s="3"/>
      <c r="E50" s="1"/>
      <c r="G50" s="16"/>
      <c r="H50" s="16"/>
      <c r="I50" s="17"/>
      <c r="J50" s="18"/>
      <c r="K50" s="18"/>
      <c r="L50" s="31"/>
      <c r="N50" s="148"/>
    </row>
    <row r="51" spans="1:14">
      <c r="A51" s="36"/>
    </row>
  </sheetData>
  <sheetProtection formatCells="0" insertRows="0" deleteRows="0" selectLockedCells="1" sort="0" autoFilter="0"/>
  <mergeCells count="15">
    <mergeCell ref="C2:I2"/>
    <mergeCell ref="J2:L2"/>
    <mergeCell ref="AA9:AB9"/>
    <mergeCell ref="O10:Z10"/>
    <mergeCell ref="O11:Z11"/>
    <mergeCell ref="AA4:AB4"/>
    <mergeCell ref="AA13:AB13"/>
    <mergeCell ref="O14:Z14"/>
    <mergeCell ref="AA14:AB14"/>
    <mergeCell ref="J48:L49"/>
    <mergeCell ref="C49:D49"/>
    <mergeCell ref="E49:F49"/>
    <mergeCell ref="G49:I49"/>
    <mergeCell ref="H48:I48"/>
    <mergeCell ref="B47:C47"/>
  </mergeCells>
  <conditionalFormatting sqref="A4:A46">
    <cfRule type="expression" dxfId="670" priority="22">
      <formula>ISERROR(J4)</formula>
    </cfRule>
    <cfRule type="cellIs" dxfId="669" priority="23" operator="equal">
      <formula>""</formula>
    </cfRule>
  </conditionalFormatting>
  <conditionalFormatting sqref="A47:C47">
    <cfRule type="expression" dxfId="668" priority="7">
      <formula>$A$48&lt;&gt;0</formula>
    </cfRule>
  </conditionalFormatting>
  <conditionalFormatting sqref="B2">
    <cfRule type="expression" dxfId="667" priority="49" stopIfTrue="1">
      <formula>$B$48="x"</formula>
    </cfRule>
  </conditionalFormatting>
  <conditionalFormatting sqref="B4:B46">
    <cfRule type="cellIs" dxfId="664" priority="36" operator="equal">
      <formula>""</formula>
    </cfRule>
  </conditionalFormatting>
  <conditionalFormatting sqref="B48">
    <cfRule type="cellIs" dxfId="663" priority="72" operator="equal">
      <formula>"y"</formula>
    </cfRule>
  </conditionalFormatting>
  <conditionalFormatting sqref="B3:J3">
    <cfRule type="expression" dxfId="662" priority="9920">
      <formula>$B$48="x"</formula>
    </cfRule>
  </conditionalFormatting>
  <conditionalFormatting sqref="B4:J46">
    <cfRule type="expression" dxfId="661" priority="32">
      <formula>$B$1="x"</formula>
    </cfRule>
  </conditionalFormatting>
  <conditionalFormatting sqref="B3:L3">
    <cfRule type="expression" dxfId="660" priority="66">
      <formula>$B$48="x"</formula>
    </cfRule>
  </conditionalFormatting>
  <conditionalFormatting sqref="C4:D46">
    <cfRule type="expression" dxfId="659" priority="39">
      <formula>AND($B4&lt;&gt;"",$C4="")</formula>
    </cfRule>
  </conditionalFormatting>
  <conditionalFormatting sqref="C49:I49">
    <cfRule type="cellIs" dxfId="658" priority="71" stopIfTrue="1" operator="lessThan">
      <formula>0</formula>
    </cfRule>
    <cfRule type="cellIs" dxfId="657" priority="69" stopIfTrue="1" operator="greaterThanOrEqual">
      <formula>0</formula>
    </cfRule>
  </conditionalFormatting>
  <conditionalFormatting sqref="D47:J47">
    <cfRule type="expression" dxfId="656" priority="9">
      <formula>$A$48&lt;&gt;0</formula>
    </cfRule>
  </conditionalFormatting>
  <conditionalFormatting sqref="H4:H46">
    <cfRule type="expression" dxfId="655" priority="35">
      <formula>AND(G4&lt;&gt;"",H4="",$I$1&lt;&gt;"x")</formula>
    </cfRule>
  </conditionalFormatting>
  <conditionalFormatting sqref="H4:I46">
    <cfRule type="expression" dxfId="654" priority="33">
      <formula>AND($I4&lt;&gt;0,$I$1&lt;&gt;"ü")</formula>
    </cfRule>
    <cfRule type="expression" dxfId="653" priority="34">
      <formula>$I$1&lt;&gt;"ü"</formula>
    </cfRule>
  </conditionalFormatting>
  <conditionalFormatting sqref="J48:L48 C49:L49 C48:H48">
    <cfRule type="expression" dxfId="651" priority="68">
      <formula>$B$48="x"</formula>
    </cfRule>
  </conditionalFormatting>
  <conditionalFormatting sqref="J48:L49">
    <cfRule type="expression" dxfId="650" priority="67">
      <formula>AND($B$48="x",$J$48&lt;&gt;0)</formula>
    </cfRule>
  </conditionalFormatting>
  <conditionalFormatting sqref="K4:L46">
    <cfRule type="expression" dxfId="649" priority="16238">
      <formula>$B$48="x"</formula>
    </cfRule>
  </conditionalFormatting>
  <conditionalFormatting sqref="M3">
    <cfRule type="cellIs" dxfId="648" priority="31" operator="equal">
      <formula>""</formula>
    </cfRule>
  </conditionalFormatting>
  <conditionalFormatting sqref="M4:M46">
    <cfRule type="expression" dxfId="647" priority="29">
      <formula>ISERROR(J4)</formula>
    </cfRule>
    <cfRule type="cellIs" dxfId="646" priority="30" operator="equal">
      <formula>""</formula>
    </cfRule>
  </conditionalFormatting>
  <conditionalFormatting sqref="M47">
    <cfRule type="expression" dxfId="645" priority="8">
      <formula>$A$48&lt;&gt;0</formula>
    </cfRule>
  </conditionalFormatting>
  <conditionalFormatting sqref="M47:M49">
    <cfRule type="cellIs" dxfId="644" priority="11" operator="equal">
      <formula>""</formula>
    </cfRule>
  </conditionalFormatting>
  <conditionalFormatting sqref="N10:AB10">
    <cfRule type="expression" dxfId="643" priority="6">
      <formula>$N$2=0</formula>
    </cfRule>
  </conditionalFormatting>
  <conditionalFormatting sqref="O11:Z11">
    <cfRule type="cellIs" dxfId="642" priority="53" operator="equal">
      <formula>"Fehler!"</formula>
    </cfRule>
  </conditionalFormatting>
  <conditionalFormatting sqref="O4:AA4">
    <cfRule type="expression" dxfId="638" priority="48">
      <formula>$N$2=0</formula>
    </cfRule>
  </conditionalFormatting>
  <conditionalFormatting sqref="O2:AB3">
    <cfRule type="expression" dxfId="636" priority="1">
      <formula>$N$2=0</formula>
    </cfRule>
  </conditionalFormatting>
  <conditionalFormatting sqref="O5:AB8 O9:AA9">
    <cfRule type="expression" dxfId="635" priority="52">
      <formula>$N$2=0</formula>
    </cfRule>
  </conditionalFormatting>
  <conditionalFormatting sqref="O11:AB14">
    <cfRule type="expression" dxfId="634" priority="3">
      <formula>$N$2=0</formula>
    </cfRule>
  </conditionalFormatting>
  <conditionalFormatting sqref="O47:AB49">
    <cfRule type="expression" dxfId="633" priority="10">
      <formula>$N$2=0</formula>
    </cfRule>
  </conditionalFormatting>
  <dataValidations count="2">
    <dataValidation type="list" allowBlank="1" showInputMessage="1" showErrorMessage="1" sqref="F4:F46" xr:uid="{04C3D20E-7577-4817-8CFD-5F3801A1A98C}">
      <formula1>"Konto,Geldbeutel,Kreditkarte,x"</formula1>
    </dataValidation>
    <dataValidation type="list" allowBlank="1" showInputMessage="1" showErrorMessage="1" sqref="H4:H46" xr:uid="{741CD4F5-65F0-42DD-9EF2-3B663DC1486B}">
      <formula1>"19,7,0,~"</formula1>
    </dataValidation>
  </dataValidations>
  <hyperlinks>
    <hyperlink ref="J2" location="'2022 EÜR'!A1" display="Menü" xr:uid="{F3D0E3A8-414F-467C-B146-0770EC59C29C}"/>
    <hyperlink ref="J2:L2" location="EÜR!A1" display="EÜR" xr:uid="{CC48BF91-D367-4335-AE89-C38FA43F695E}"/>
  </hyperlinks>
  <printOptions horizontalCentered="1"/>
  <pageMargins left="0" right="0" top="0" bottom="0.31496062992125984" header="0" footer="0"/>
  <pageSetup paperSize="9" orientation="portrait" r:id="rId1"/>
  <headerFooter>
    <oddFooter>&amp;L&amp;"Arial,Standard"&amp;8Datei: &amp;Z&amp;F/&amp;A&amp;C&amp;"Arial,Standard"&amp;8Seite &amp;P von &amp;N&amp;R&amp;"Arial,Standard"&amp;8Druck: &amp;D&amp;T Uhr</oddFooter>
  </headerFooter>
  <extLst>
    <ext xmlns:x14="http://schemas.microsoft.com/office/spreadsheetml/2009/9/main" uri="{78C0D931-6437-407d-A8EE-F0AAD7539E65}">
      <x14:conditionalFormattings>
        <x14:conditionalFormatting xmlns:xm="http://schemas.microsoft.com/office/excel/2006/main">
          <x14:cfRule type="cellIs" priority="37" operator="greaterThan" id="{C46D359E-C70E-4424-9E05-61D520E5FECC}">
            <xm:f>EÜR!$I$78</xm:f>
            <x14:dxf>
              <font>
                <b/>
                <i val="0"/>
                <color rgb="FFFFFF00"/>
              </font>
              <fill>
                <patternFill>
                  <bgColor rgb="FFC00000"/>
                </patternFill>
              </fill>
            </x14:dxf>
          </x14:cfRule>
          <x14:cfRule type="cellIs" priority="38" operator="lessThan" id="{6A70224E-D5A9-4037-AD00-344FCD52051F}">
            <xm:f>EÜR!$I$77</xm:f>
            <x14:dxf>
              <font>
                <b/>
                <i val="0"/>
                <color rgb="FFFFFF00"/>
              </font>
              <fill>
                <patternFill>
                  <bgColor rgb="FFC00000"/>
                </patternFill>
              </fill>
            </x14:dxf>
          </x14:cfRule>
          <xm:sqref>B4:B46</xm:sqref>
        </x14:conditionalFormatting>
        <x14:conditionalFormatting xmlns:xm="http://schemas.microsoft.com/office/excel/2006/main">
          <x14:cfRule type="expression" priority="50" id="{65483783-B670-4950-B356-C5CFE16F568D}">
            <xm:f>AND(EÜR!$J$66&lt;&gt;"ü",$H$48&lt;&gt;0)</xm:f>
            <x14:dxf>
              <font>
                <b/>
                <i val="0"/>
                <color rgb="FFFFFF00"/>
              </font>
              <fill>
                <patternFill>
                  <bgColor rgb="FFFF0000"/>
                </patternFill>
              </fill>
            </x14:dxf>
          </x14:cfRule>
          <xm:sqref>H48:I48</xm:sqref>
        </x14:conditionalFormatting>
        <x14:conditionalFormatting xmlns:xm="http://schemas.microsoft.com/office/excel/2006/main">
          <x14:cfRule type="expression" priority="54" id="{E18C4428-F136-440E-B229-8128186A9BE8}">
            <xm:f>AND(O13&lt;&gt;0,U!L36="!",U!L37="!")</xm:f>
            <x14:dxf>
              <font>
                <b/>
                <i val="0"/>
                <color rgb="FFFF0000"/>
              </font>
              <fill>
                <patternFill>
                  <bgColor rgb="FFFFCCCC"/>
                </patternFill>
              </fill>
            </x14:dxf>
          </x14:cfRule>
          <x14:cfRule type="expression" priority="55" id="{3E161ED8-243E-4989-9D7A-40DA8623905E}">
            <xm:f>U!L37&lt;&gt;"!"</xm:f>
            <x14:dxf>
              <font>
                <b/>
                <i val="0"/>
                <color rgb="FF006666"/>
              </font>
              <fill>
                <patternFill>
                  <bgColor theme="6" tint="0.39994506668294322"/>
                </patternFill>
              </fill>
            </x14:dxf>
          </x14:cfRule>
          <x14:cfRule type="expression" priority="56" id="{CEB7FBDD-4C7A-4803-8F4F-A7645BA73B2E}">
            <xm:f>U!L36&lt;&gt;"!"</xm:f>
            <x14:dxf>
              <font>
                <b/>
                <i val="0"/>
                <color theme="9" tint="-0.499984740745262"/>
              </font>
              <fill>
                <patternFill>
                  <bgColor rgb="FFFFFF99"/>
                </patternFill>
              </fill>
            </x14:dxf>
          </x14:cfRule>
          <xm:sqref>O13:Z13</xm:sqref>
        </x14:conditionalFormatting>
        <x14:conditionalFormatting xmlns:xm="http://schemas.microsoft.com/office/excel/2006/main">
          <x14:cfRule type="expression" priority="2" id="{414175A1-4626-4823-B098-FA5E24A8CA94}">
            <xm:f>EÜR!$J$66="-"</xm:f>
            <x14:dxf>
              <font>
                <b/>
                <i val="0"/>
                <color theme="0"/>
              </font>
              <fill>
                <patternFill>
                  <bgColor theme="0"/>
                </patternFill>
              </fill>
              <border>
                <left/>
                <right/>
                <top/>
                <bottom/>
              </border>
            </x14:dxf>
          </x14:cfRule>
          <xm:sqref>O12:AA14</xm:sqref>
        </x14:conditionalFormatting>
      </x14:conditionalFormattings>
    </ext>
  </extLst>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C743FF-FCBE-4E4F-B205-113369AF3D51}">
  <sheetPr codeName="Tabelle30">
    <tabColor theme="9" tint="0.39997558519241921"/>
    <pageSetUpPr autoPageBreaks="0"/>
  </sheetPr>
  <dimension ref="A1:AB51"/>
  <sheetViews>
    <sheetView showGridLines="0" showRowColHeaders="0" zoomScaleNormal="100" workbookViewId="0">
      <pane ySplit="3" topLeftCell="A4" activePane="bottomLeft" state="frozen"/>
      <selection activeCell="F4" sqref="F4:F46"/>
      <selection pane="bottomLeft" activeCell="A4" sqref="A4"/>
    </sheetView>
  </sheetViews>
  <sheetFormatPr baseColWidth="10" defaultColWidth="9.77734375" defaultRowHeight="12.75"/>
  <cols>
    <col min="1" max="1" width="0.77734375" style="12" customWidth="1"/>
    <col min="2" max="2" width="7.6640625" style="30" customWidth="1"/>
    <col min="3" max="3" width="21.6640625" style="24" customWidth="1"/>
    <col min="4" max="4" width="7.6640625" style="24" customWidth="1"/>
    <col min="5" max="5" width="6.6640625" style="25" customWidth="1"/>
    <col min="6" max="6" width="9.6640625" style="26" customWidth="1"/>
    <col min="7" max="7" width="9.6640625" style="27" customWidth="1"/>
    <col min="8" max="8" width="2.6640625" style="28" customWidth="1"/>
    <col min="9" max="9" width="6.6640625" style="29" customWidth="1"/>
    <col min="10" max="10" width="9.6640625" style="27" customWidth="1"/>
    <col min="11" max="11" width="2.5546875" style="27" hidden="1" customWidth="1"/>
    <col min="12" max="12" width="1.5546875" style="32" hidden="1" customWidth="1"/>
    <col min="13" max="13" width="0.77734375" style="13" customWidth="1"/>
    <col min="14" max="14" width="1.77734375" style="147" customWidth="1"/>
    <col min="15" max="26" width="8.77734375" style="13" customWidth="1"/>
    <col min="27" max="27" width="10.33203125" style="13" customWidth="1"/>
    <col min="28" max="28" width="8.33203125" style="13" customWidth="1"/>
    <col min="29" max="16384" width="9.77734375" style="13"/>
  </cols>
  <sheetData>
    <row r="1" spans="1:28" s="37" customFormat="1" ht="3" customHeight="1" thickBot="1">
      <c r="A1" s="36"/>
      <c r="B1" s="53" t="str">
        <f>+B48</f>
        <v>ü</v>
      </c>
      <c r="C1" s="54">
        <f>+C49</f>
        <v>0</v>
      </c>
      <c r="D1" s="54"/>
      <c r="E1" s="53">
        <f>+E49</f>
        <v>0</v>
      </c>
      <c r="F1" s="53"/>
      <c r="G1" s="54">
        <f>+G49</f>
        <v>0</v>
      </c>
      <c r="H1" s="53"/>
      <c r="I1" s="338" t="s">
        <v>168</v>
      </c>
      <c r="J1" s="54">
        <f>+J48</f>
        <v>0</v>
      </c>
      <c r="K1" s="198"/>
      <c r="L1" s="56"/>
      <c r="N1" s="190"/>
    </row>
    <row r="2" spans="1:28" ht="23.1" customHeight="1" thickTop="1" thickBot="1">
      <c r="A2" s="36"/>
      <c r="B2" s="296" t="str">
        <f>+EÜR!D42</f>
        <v>A21</v>
      </c>
      <c r="C2" s="1290" t="str">
        <f>+EÜR!F42</f>
        <v>Rücklagen, stille Reserven, Ausgleichsposten</v>
      </c>
      <c r="D2" s="1291"/>
      <c r="E2" s="1291"/>
      <c r="F2" s="1291"/>
      <c r="G2" s="1291"/>
      <c r="H2" s="1291"/>
      <c r="I2" s="1292"/>
      <c r="J2" s="1227" t="s">
        <v>8</v>
      </c>
      <c r="K2" s="1228"/>
      <c r="L2" s="1229"/>
      <c r="M2" s="134"/>
      <c r="N2" s="190">
        <f>IF(OR(B48="x",N3=1),0,1)</f>
        <v>1</v>
      </c>
      <c r="O2" s="188">
        <f>+EOMONTH(EÜR!$I$3,-1)+1</f>
        <v>46023</v>
      </c>
      <c r="P2" s="188">
        <f t="shared" ref="P2:Z2" si="0">+O3+1</f>
        <v>46054</v>
      </c>
      <c r="Q2" s="188">
        <f t="shared" si="0"/>
        <v>46082</v>
      </c>
      <c r="R2" s="188">
        <f t="shared" si="0"/>
        <v>46113</v>
      </c>
      <c r="S2" s="188">
        <f t="shared" si="0"/>
        <v>46143</v>
      </c>
      <c r="T2" s="188">
        <f t="shared" si="0"/>
        <v>46174</v>
      </c>
      <c r="U2" s="188">
        <f t="shared" si="0"/>
        <v>46204</v>
      </c>
      <c r="V2" s="188">
        <f t="shared" si="0"/>
        <v>46235</v>
      </c>
      <c r="W2" s="188">
        <f t="shared" si="0"/>
        <v>46266</v>
      </c>
      <c r="X2" s="188">
        <f t="shared" si="0"/>
        <v>46296</v>
      </c>
      <c r="Y2" s="188">
        <f t="shared" si="0"/>
        <v>46327</v>
      </c>
      <c r="Z2" s="188">
        <f t="shared" si="0"/>
        <v>46357</v>
      </c>
      <c r="AA2" s="48"/>
    </row>
    <row r="3" spans="1:28" ht="14.25" customHeight="1" thickTop="1">
      <c r="A3" s="36" t="s">
        <v>5</v>
      </c>
      <c r="B3" s="58" t="s">
        <v>1</v>
      </c>
      <c r="C3" s="59" t="s">
        <v>6</v>
      </c>
      <c r="D3" s="60"/>
      <c r="E3" s="310" t="s">
        <v>7</v>
      </c>
      <c r="F3" s="61" t="s">
        <v>4</v>
      </c>
      <c r="G3" s="62" t="s">
        <v>31</v>
      </c>
      <c r="H3" s="63" t="s">
        <v>33</v>
      </c>
      <c r="I3" s="64" t="s">
        <v>32</v>
      </c>
      <c r="J3" s="275" t="s">
        <v>34</v>
      </c>
      <c r="K3" s="199">
        <v>0</v>
      </c>
      <c r="L3" s="65" t="s">
        <v>5</v>
      </c>
      <c r="M3" s="135" t="s">
        <v>5</v>
      </c>
      <c r="N3" s="222">
        <f>IF(SUBTOTAL(109,K3:K47)&lt;&gt;SUM(K3:K47),1,0)</f>
        <v>0</v>
      </c>
      <c r="O3" s="189">
        <f>EOMONTH(O2,0)</f>
        <v>46053</v>
      </c>
      <c r="P3" s="189">
        <f t="shared" ref="P3:Z3" si="1">EOMONTH(P2,0)</f>
        <v>46081</v>
      </c>
      <c r="Q3" s="189">
        <f t="shared" si="1"/>
        <v>46112</v>
      </c>
      <c r="R3" s="189">
        <f t="shared" si="1"/>
        <v>46142</v>
      </c>
      <c r="S3" s="189">
        <f t="shared" si="1"/>
        <v>46173</v>
      </c>
      <c r="T3" s="189">
        <f t="shared" si="1"/>
        <v>46203</v>
      </c>
      <c r="U3" s="189">
        <f t="shared" si="1"/>
        <v>46234</v>
      </c>
      <c r="V3" s="189">
        <f t="shared" si="1"/>
        <v>46265</v>
      </c>
      <c r="W3" s="189">
        <f t="shared" si="1"/>
        <v>46295</v>
      </c>
      <c r="X3" s="189">
        <f t="shared" si="1"/>
        <v>46326</v>
      </c>
      <c r="Y3" s="189">
        <f t="shared" si="1"/>
        <v>46356</v>
      </c>
      <c r="Z3" s="189">
        <f t="shared" si="1"/>
        <v>46387</v>
      </c>
      <c r="AB3" s="14"/>
    </row>
    <row r="4" spans="1:28" ht="13.35" customHeight="1">
      <c r="A4" s="50" t="s">
        <v>5</v>
      </c>
      <c r="B4" s="141"/>
      <c r="C4" s="80"/>
      <c r="D4" s="93"/>
      <c r="E4" s="226"/>
      <c r="F4" s="89"/>
      <c r="G4" s="81"/>
      <c r="H4" s="82"/>
      <c r="I4" s="83" t="str">
        <f t="shared" ref="I4:I44" si="2">IF(G4&lt;&gt;"",+G4-G4/(1+H4/100),"")</f>
        <v/>
      </c>
      <c r="J4" s="361" t="str">
        <f t="shared" ref="J4:J44" si="3">IF(G4&lt;&gt;0,+G4-I4,"")</f>
        <v/>
      </c>
      <c r="K4" s="200">
        <v>1</v>
      </c>
      <c r="L4" s="133">
        <f>IF(B4&lt;$O$2,0,IF(B4&lt;$P$2,1,IF(B4&lt;$Q$2,2,IF(B4&lt;$R$2,3,IF(B4&lt;$S$2,4,IF(B4&lt;$T$2,5,IF(B4&lt;$U$2,6,IF(B4&lt;$V$2,7,IF(B4&lt;$W$2,8,IF(B4&lt;$X$2,9,IF(B4&lt;$Y$2,10,IF(B4&lt;$Z$2,11,IF(B4&lt;=$Z$3,12,0)))))))))))))</f>
        <v>0</v>
      </c>
      <c r="M4" s="135" t="s">
        <v>5</v>
      </c>
      <c r="N4" s="190">
        <f>+N10+AA12+AA16</f>
        <v>0</v>
      </c>
      <c r="O4" s="251" t="s">
        <v>36</v>
      </c>
      <c r="P4" s="251" t="s">
        <v>37</v>
      </c>
      <c r="Q4" s="251" t="s">
        <v>38</v>
      </c>
      <c r="R4" s="251" t="s">
        <v>39</v>
      </c>
      <c r="S4" s="251" t="s">
        <v>40</v>
      </c>
      <c r="T4" s="251" t="s">
        <v>41</v>
      </c>
      <c r="U4" s="251" t="s">
        <v>42</v>
      </c>
      <c r="V4" s="251" t="s">
        <v>43</v>
      </c>
      <c r="W4" s="251" t="s">
        <v>44</v>
      </c>
      <c r="X4" s="251" t="s">
        <v>45</v>
      </c>
      <c r="Y4" s="251" t="s">
        <v>46</v>
      </c>
      <c r="Z4" s="251" t="s">
        <v>47</v>
      </c>
      <c r="AA4" s="1209" t="s">
        <v>255</v>
      </c>
      <c r="AB4" s="1210"/>
    </row>
    <row r="5" spans="1:28" ht="13.35" customHeight="1">
      <c r="A5" s="50" t="s">
        <v>5</v>
      </c>
      <c r="B5" s="141"/>
      <c r="C5" s="80"/>
      <c r="D5" s="93"/>
      <c r="E5" s="226"/>
      <c r="F5" s="89"/>
      <c r="G5" s="81"/>
      <c r="H5" s="82"/>
      <c r="I5" s="83" t="str">
        <f t="shared" si="2"/>
        <v/>
      </c>
      <c r="J5" s="361" t="str">
        <f t="shared" si="3"/>
        <v/>
      </c>
      <c r="K5" s="200">
        <v>2</v>
      </c>
      <c r="L5" s="133">
        <f t="shared" ref="L5:L44" si="4">IF(B5&lt;$O$2,0,IF(B5&lt;$P$2,1,IF(B5&lt;$Q$2,2,IF(B5&lt;$R$2,3,IF(B5&lt;$S$2,4,IF(B5&lt;$T$2,5,IF(B5&lt;$U$2,6,IF(B5&lt;$V$2,7,IF(B5&lt;$W$2,8,IF(B5&lt;$X$2,9,IF(B5&lt;$Y$2,10,IF(B5&lt;$Z$2,11,IF(B5&lt;=$Z$3,12,0)))))))))))))</f>
        <v>0</v>
      </c>
      <c r="M5" s="135" t="s">
        <v>5</v>
      </c>
      <c r="O5" s="252">
        <f>SUMIFS($G$3:$G$47,$L$3:$L$47,1,$F$3:$F$47,"Konto")</f>
        <v>0</v>
      </c>
      <c r="P5" s="252">
        <f>SUMIFS($G$3:$G$47,$L$3:$L$47,2,$F$3:$F$47,"Konto")</f>
        <v>0</v>
      </c>
      <c r="Q5" s="252">
        <f>SUMIFS($G$3:$G$47,$L$3:$L$47,3,$F$3:$F$47,"Konto")</f>
        <v>0</v>
      </c>
      <c r="R5" s="252">
        <f>SUMIFS($G$3:$G$47,$L$3:$L$47,4,$F$3:$F$47,"Konto")</f>
        <v>0</v>
      </c>
      <c r="S5" s="252">
        <f>SUMIFS($G$3:$G$47,$L$3:$L$47,5,$F$3:$F$47,"Konto")</f>
        <v>0</v>
      </c>
      <c r="T5" s="252">
        <f>SUMIFS($G$3:$G$47,$L$3:$L$47,6,$F$3:$F$47,"Konto")</f>
        <v>0</v>
      </c>
      <c r="U5" s="252">
        <f>SUMIFS($G$3:$G$47,$L$3:$L$47,7,$F$3:$F$47,"Konto")</f>
        <v>0</v>
      </c>
      <c r="V5" s="252">
        <f>SUMIFS($G$3:$G$47,$L$3:$L$47,8,$F$3:$F$47,"Konto")</f>
        <v>0</v>
      </c>
      <c r="W5" s="252">
        <f>SUMIFS($G$3:$G$47,$L$3:$L$47,9,$F$3:$F$47,"Konto")</f>
        <v>0</v>
      </c>
      <c r="X5" s="252">
        <f>SUMIFS($G$3:$G$47,$L$3:$L$47,10,$F$3:$F$47,"Konto")</f>
        <v>0</v>
      </c>
      <c r="Y5" s="252">
        <f>SUMIFS($G$3:$G$47,$L$3:$L$47,11,$F$3:$F$47,"Konto")</f>
        <v>0</v>
      </c>
      <c r="Z5" s="252">
        <f>SUMIFS($G$3:$G$47,$L$3:$L$47,12,$F$3:$F$47,"Konto")</f>
        <v>0</v>
      </c>
      <c r="AA5" s="253">
        <f>SUM(O5:Z5)</f>
        <v>0</v>
      </c>
      <c r="AB5" s="254" t="s">
        <v>140</v>
      </c>
    </row>
    <row r="6" spans="1:28" ht="13.35" customHeight="1">
      <c r="A6" s="50" t="s">
        <v>5</v>
      </c>
      <c r="B6" s="141"/>
      <c r="C6" s="80"/>
      <c r="D6" s="93"/>
      <c r="E6" s="226"/>
      <c r="F6" s="89"/>
      <c r="G6" s="81"/>
      <c r="H6" s="82"/>
      <c r="I6" s="83" t="str">
        <f t="shared" si="2"/>
        <v/>
      </c>
      <c r="J6" s="361" t="str">
        <f t="shared" si="3"/>
        <v/>
      </c>
      <c r="K6" s="200">
        <v>3</v>
      </c>
      <c r="L6" s="133">
        <f t="shared" si="4"/>
        <v>0</v>
      </c>
      <c r="M6" s="135" t="s">
        <v>5</v>
      </c>
      <c r="N6" s="190"/>
      <c r="O6" s="252">
        <f>SUMIFS($G$3:$G$47,$L$3:$L$47,1,$F$3:$F$47,"Kreditkarte")</f>
        <v>0</v>
      </c>
      <c r="P6" s="252">
        <f>SUMIFS($G$3:$G$47,$L$3:$L$47,2,$F$3:$F$47,"Kreditkarte")</f>
        <v>0</v>
      </c>
      <c r="Q6" s="252">
        <f>SUMIFS($G$3:$G$47,$L$3:$L$47,3,$F$3:$F$47,"Kreditkarte")</f>
        <v>0</v>
      </c>
      <c r="R6" s="252">
        <f>SUMIFS($G$3:$G$47,$L$3:$L$47,4,$F$3:$F$47,"Kreditkarte")</f>
        <v>0</v>
      </c>
      <c r="S6" s="252">
        <f>SUMIFS($G$3:$G$47,$L$3:$L$47,5,$F$3:$F$47,"Kreditkarte")</f>
        <v>0</v>
      </c>
      <c r="T6" s="252">
        <f>SUMIFS($G$3:$G$47,$L$3:$L$47,6,$F$3:$F$47,"Kreditkarte")</f>
        <v>0</v>
      </c>
      <c r="U6" s="252">
        <f>SUMIFS($G$3:$G$47,$L$3:$L$47,7,$F$3:$F$47,"Kreditkarte")</f>
        <v>0</v>
      </c>
      <c r="V6" s="252">
        <f>SUMIFS($G$3:$G$47,$L$3:$L$47,8,$F$3:$F$47,"Kreditkarte")</f>
        <v>0</v>
      </c>
      <c r="W6" s="252">
        <f>SUMIFS($G$3:$G$47,$L$3:$L$47,9,$F$3:$F$47,"Kreditkarte")</f>
        <v>0</v>
      </c>
      <c r="X6" s="252">
        <f>SUMIFS($G$3:$G$47,$L$3:$L$47,10,$F$3:$F$47,"Kreditkarte")</f>
        <v>0</v>
      </c>
      <c r="Y6" s="252">
        <f>SUMIFS($G$3:$G$47,$L$3:$L$47,11,$F$3:$F$47,"Kreditkarte")</f>
        <v>0</v>
      </c>
      <c r="Z6" s="252">
        <f>SUMIFS($G$3:$G$47,$L$3:$L$47,12,$F$3:$F$47,"Kreditkarte")</f>
        <v>0</v>
      </c>
      <c r="AA6" s="255">
        <f t="shared" ref="AA6:AA8" si="5">SUM(O6:Z6)</f>
        <v>0</v>
      </c>
      <c r="AB6" s="256" t="s">
        <v>142</v>
      </c>
    </row>
    <row r="7" spans="1:28" ht="13.35" customHeight="1">
      <c r="A7" s="50" t="s">
        <v>5</v>
      </c>
      <c r="B7" s="141"/>
      <c r="C7" s="80"/>
      <c r="D7" s="93"/>
      <c r="E7" s="226"/>
      <c r="F7" s="89"/>
      <c r="G7" s="81"/>
      <c r="H7" s="82"/>
      <c r="I7" s="83" t="str">
        <f t="shared" si="2"/>
        <v/>
      </c>
      <c r="J7" s="361" t="str">
        <f t="shared" si="3"/>
        <v/>
      </c>
      <c r="K7" s="200">
        <v>4</v>
      </c>
      <c r="L7" s="133">
        <f t="shared" si="4"/>
        <v>0</v>
      </c>
      <c r="M7" s="135" t="s">
        <v>5</v>
      </c>
      <c r="O7" s="252">
        <f>SUMIFS($G$3:$G$47,$L$3:$L$47,1,$F$3:$F$47,"Geldbeutel")</f>
        <v>0</v>
      </c>
      <c r="P7" s="252">
        <f>SUMIFS($G$3:$G$47,$L$3:$L$47,2,$F$3:$F$47,"Geldbeutel")</f>
        <v>0</v>
      </c>
      <c r="Q7" s="252">
        <f>SUMIFS($G$3:$G$47,$L$3:$L$47,3,$F$3:$F$47,"Geldbeutel")</f>
        <v>0</v>
      </c>
      <c r="R7" s="252">
        <f>SUMIFS($G$3:$G$47,$L$3:$L$47,4,$F$3:$F$47,"Geldbeutel")</f>
        <v>0</v>
      </c>
      <c r="S7" s="252">
        <f>SUMIFS($G$3:$G$47,$L$3:$L$47,5,$F$3:$F$47,"Geldbeutel")</f>
        <v>0</v>
      </c>
      <c r="T7" s="252">
        <f>SUMIFS($G$3:$G$47,$L$3:$L$47,6,$F$3:$F$47,"Geldbeutel")</f>
        <v>0</v>
      </c>
      <c r="U7" s="252">
        <f>SUMIFS($G$3:$G$47,$L$3:$L$47,7,$F$3:$F$47,"Geldbeutel")</f>
        <v>0</v>
      </c>
      <c r="V7" s="252">
        <f>SUMIFS($G$3:$G$47,$L$3:$L$47,8,$F$3:$F$47,"Geldbeutel")</f>
        <v>0</v>
      </c>
      <c r="W7" s="252">
        <f>SUMIFS($G$3:$G$47,$L$3:$L$47,9,$F$3:$F$47,"Geldbeutel")</f>
        <v>0</v>
      </c>
      <c r="X7" s="252">
        <f>SUMIFS($G$3:$G$47,$L$3:$L$47,10,$F$3:$F$47,"Geldbeutel")</f>
        <v>0</v>
      </c>
      <c r="Y7" s="252">
        <f>SUMIFS($G$3:$G$47,$L$3:$L$47,11,$F$3:$F$47,"Geldbeutel")</f>
        <v>0</v>
      </c>
      <c r="Z7" s="252">
        <f>SUMIFS($G$3:$G$47,$L$3:$L$47,12,$F$3:$F$47,"Geldbeutel")</f>
        <v>0</v>
      </c>
      <c r="AA7" s="253">
        <f t="shared" si="5"/>
        <v>0</v>
      </c>
      <c r="AB7" s="254" t="s">
        <v>139</v>
      </c>
    </row>
    <row r="8" spans="1:28" ht="13.35" customHeight="1">
      <c r="A8" s="50" t="s">
        <v>5</v>
      </c>
      <c r="B8" s="141"/>
      <c r="C8" s="80"/>
      <c r="D8" s="93"/>
      <c r="E8" s="226"/>
      <c r="F8" s="89"/>
      <c r="G8" s="81"/>
      <c r="H8" s="82"/>
      <c r="I8" s="83" t="str">
        <f t="shared" si="2"/>
        <v/>
      </c>
      <c r="J8" s="361" t="str">
        <f t="shared" si="3"/>
        <v/>
      </c>
      <c r="K8" s="200">
        <v>5</v>
      </c>
      <c r="L8" s="133">
        <f t="shared" si="4"/>
        <v>0</v>
      </c>
      <c r="M8" s="135" t="s">
        <v>5</v>
      </c>
      <c r="O8" s="252">
        <f>SUMIFS($G$3:$G$47,$L$3:$L$47,1,$F$3:$F$47,"X")</f>
        <v>0</v>
      </c>
      <c r="P8" s="252">
        <f>SUMIFS($G$3:$G$47,$L$3:$L$47,2,$F$3:$F$47,"X")</f>
        <v>0</v>
      </c>
      <c r="Q8" s="252">
        <f>SUMIFS($G$3:$G$47,$L$3:$L$47,3,$F$3:$F$47,"X")</f>
        <v>0</v>
      </c>
      <c r="R8" s="252">
        <f>SUMIFS($G$3:$G$47,$L$3:$L$47,4,$F$3:$F$47,"X")</f>
        <v>0</v>
      </c>
      <c r="S8" s="252">
        <f>SUMIFS($G$3:$G$47,$L$3:$L$47,5,$F$3:$F$47,"X")</f>
        <v>0</v>
      </c>
      <c r="T8" s="252">
        <f>SUMIFS($G$3:$G$47,$L$3:$L$47,6,$F$3:$F$47,"X")</f>
        <v>0</v>
      </c>
      <c r="U8" s="252">
        <f>SUMIFS($G$3:$G$47,$L$3:$L$47,7,$F$3:$F$47,"X")</f>
        <v>0</v>
      </c>
      <c r="V8" s="252">
        <f>SUMIFS($G$3:$G$47,$L$3:$L$47,8,$F$3:$F$47,"X")</f>
        <v>0</v>
      </c>
      <c r="W8" s="252">
        <f>SUMIFS($G$3:$G$47,$L$3:$L$47,9,$F$3:$F$47,"X")</f>
        <v>0</v>
      </c>
      <c r="X8" s="252">
        <f>SUMIFS($G$3:$G$47,$L$3:$L$47,10,$F$3:$F$47,"X")</f>
        <v>0</v>
      </c>
      <c r="Y8" s="252">
        <f>SUMIFS($G$3:$G$47,$L$3:$L$47,11,$F$3:$F$47,"X")</f>
        <v>0</v>
      </c>
      <c r="Z8" s="252">
        <f>SUMIFS($G$3:$G$47,$L$3:$L$47,12,$F$3:$F$47,"X")</f>
        <v>0</v>
      </c>
      <c r="AA8" s="255">
        <f t="shared" si="5"/>
        <v>0</v>
      </c>
      <c r="AB8" s="256" t="s">
        <v>192</v>
      </c>
    </row>
    <row r="9" spans="1:28" ht="13.35" customHeight="1">
      <c r="A9" s="50" t="s">
        <v>5</v>
      </c>
      <c r="B9" s="141"/>
      <c r="C9" s="80"/>
      <c r="D9" s="93"/>
      <c r="E9" s="226"/>
      <c r="F9" s="89"/>
      <c r="G9" s="81"/>
      <c r="H9" s="82"/>
      <c r="I9" s="83" t="str">
        <f t="shared" si="2"/>
        <v/>
      </c>
      <c r="J9" s="361" t="str">
        <f t="shared" si="3"/>
        <v/>
      </c>
      <c r="K9" s="200">
        <v>6</v>
      </c>
      <c r="L9" s="133">
        <f t="shared" si="4"/>
        <v>0</v>
      </c>
      <c r="M9" s="135" t="s">
        <v>5</v>
      </c>
      <c r="N9" s="191">
        <f>IF(OR(AND(AA14&lt;&gt;0,B48="x"),(O14+AA13)&lt;&gt;H48),1,0)</f>
        <v>0</v>
      </c>
      <c r="O9" s="257">
        <f>SUM(O5:O8)</f>
        <v>0</v>
      </c>
      <c r="P9" s="257">
        <f t="shared" ref="P9:Z9" si="6">SUM(P5:P8)</f>
        <v>0</v>
      </c>
      <c r="Q9" s="257">
        <f t="shared" si="6"/>
        <v>0</v>
      </c>
      <c r="R9" s="257">
        <f t="shared" si="6"/>
        <v>0</v>
      </c>
      <c r="S9" s="257">
        <f t="shared" si="6"/>
        <v>0</v>
      </c>
      <c r="T9" s="257">
        <f t="shared" si="6"/>
        <v>0</v>
      </c>
      <c r="U9" s="257">
        <f t="shared" si="6"/>
        <v>0</v>
      </c>
      <c r="V9" s="257">
        <f t="shared" si="6"/>
        <v>0</v>
      </c>
      <c r="W9" s="257">
        <f t="shared" si="6"/>
        <v>0</v>
      </c>
      <c r="X9" s="257">
        <f t="shared" si="6"/>
        <v>0</v>
      </c>
      <c r="Y9" s="257">
        <f t="shared" si="6"/>
        <v>0</v>
      </c>
      <c r="Z9" s="257">
        <f t="shared" si="6"/>
        <v>0</v>
      </c>
      <c r="AA9" s="1211" t="s">
        <v>197</v>
      </c>
      <c r="AB9" s="1212"/>
    </row>
    <row r="10" spans="1:28" ht="13.35" customHeight="1">
      <c r="A10" s="50" t="s">
        <v>5</v>
      </c>
      <c r="B10" s="141"/>
      <c r="C10" s="80"/>
      <c r="D10" s="93"/>
      <c r="E10" s="226"/>
      <c r="F10" s="89"/>
      <c r="G10" s="81"/>
      <c r="H10" s="82"/>
      <c r="I10" s="83" t="str">
        <f t="shared" si="2"/>
        <v/>
      </c>
      <c r="J10" s="361" t="str">
        <f t="shared" si="3"/>
        <v/>
      </c>
      <c r="K10" s="200">
        <v>7</v>
      </c>
      <c r="L10" s="133">
        <f t="shared" si="4"/>
        <v>0</v>
      </c>
      <c r="M10" s="135" t="s">
        <v>5</v>
      </c>
      <c r="N10" s="259">
        <f>IF(O10+AA10&lt;&gt;G48,1,0)</f>
        <v>0</v>
      </c>
      <c r="O10" s="1230">
        <f>SUM(O5:Z8)</f>
        <v>0</v>
      </c>
      <c r="P10" s="1231"/>
      <c r="Q10" s="1231"/>
      <c r="R10" s="1231"/>
      <c r="S10" s="1231"/>
      <c r="T10" s="1231"/>
      <c r="U10" s="1231"/>
      <c r="V10" s="1231"/>
      <c r="W10" s="1231"/>
      <c r="X10" s="1231"/>
      <c r="Y10" s="1231"/>
      <c r="Z10" s="1232"/>
      <c r="AA10" s="292">
        <f>+G48-AA7-AA6-AA5-AA8</f>
        <v>0</v>
      </c>
      <c r="AB10" s="293" t="s">
        <v>205</v>
      </c>
    </row>
    <row r="11" spans="1:28" ht="13.35" customHeight="1">
      <c r="A11" s="50" t="s">
        <v>5</v>
      </c>
      <c r="B11" s="141"/>
      <c r="C11" s="80"/>
      <c r="D11" s="93"/>
      <c r="E11" s="226"/>
      <c r="F11" s="89"/>
      <c r="G11" s="81"/>
      <c r="H11" s="82"/>
      <c r="I11" s="83" t="str">
        <f t="shared" si="2"/>
        <v/>
      </c>
      <c r="J11" s="361" t="str">
        <f t="shared" si="3"/>
        <v/>
      </c>
      <c r="K11" s="200">
        <v>8</v>
      </c>
      <c r="L11" s="133">
        <f t="shared" si="4"/>
        <v>0</v>
      </c>
      <c r="M11" s="135" t="s">
        <v>5</v>
      </c>
      <c r="O11" s="1219" t="str">
        <f>IF(N4&gt;0,"Fehler!","")</f>
        <v/>
      </c>
      <c r="P11" s="1219"/>
      <c r="Q11" s="1219"/>
      <c r="R11" s="1219"/>
      <c r="S11" s="1219"/>
      <c r="T11" s="1219"/>
      <c r="U11" s="1219"/>
      <c r="V11" s="1219"/>
      <c r="W11" s="1219"/>
      <c r="X11" s="1219"/>
      <c r="Y11" s="1219"/>
      <c r="Z11" s="1219"/>
    </row>
    <row r="12" spans="1:28" ht="13.35" customHeight="1">
      <c r="A12" s="50" t="s">
        <v>5</v>
      </c>
      <c r="B12" s="141"/>
      <c r="C12" s="80"/>
      <c r="D12" s="93"/>
      <c r="E12" s="226"/>
      <c r="F12" s="89"/>
      <c r="G12" s="81"/>
      <c r="H12" s="82"/>
      <c r="I12" s="83" t="str">
        <f t="shared" si="2"/>
        <v/>
      </c>
      <c r="J12" s="361" t="str">
        <f t="shared" si="3"/>
        <v/>
      </c>
      <c r="K12" s="200">
        <v>9</v>
      </c>
      <c r="L12" s="133">
        <f t="shared" si="4"/>
        <v>0</v>
      </c>
      <c r="M12" s="135" t="s">
        <v>5</v>
      </c>
      <c r="O12" s="203" t="s">
        <v>36</v>
      </c>
      <c r="P12" s="203" t="s">
        <v>37</v>
      </c>
      <c r="Q12" s="203" t="s">
        <v>38</v>
      </c>
      <c r="R12" s="203" t="s">
        <v>39</v>
      </c>
      <c r="S12" s="203" t="s">
        <v>40</v>
      </c>
      <c r="T12" s="203" t="s">
        <v>41</v>
      </c>
      <c r="U12" s="203" t="s">
        <v>42</v>
      </c>
      <c r="V12" s="203" t="s">
        <v>43</v>
      </c>
      <c r="W12" s="203" t="s">
        <v>44</v>
      </c>
      <c r="X12" s="203" t="s">
        <v>45</v>
      </c>
      <c r="Y12" s="203" t="s">
        <v>46</v>
      </c>
      <c r="Z12" s="203" t="s">
        <v>47</v>
      </c>
      <c r="AA12" s="221">
        <f>IF(O14+AA13&lt;&gt;H48,1,0)</f>
        <v>0</v>
      </c>
    </row>
    <row r="13" spans="1:28" ht="13.35" customHeight="1">
      <c r="A13" s="50" t="s">
        <v>5</v>
      </c>
      <c r="B13" s="141"/>
      <c r="C13" s="80"/>
      <c r="D13" s="93"/>
      <c r="E13" s="226"/>
      <c r="F13" s="89"/>
      <c r="G13" s="81"/>
      <c r="H13" s="82"/>
      <c r="I13" s="83" t="str">
        <f t="shared" si="2"/>
        <v/>
      </c>
      <c r="J13" s="361" t="str">
        <f t="shared" si="3"/>
        <v/>
      </c>
      <c r="K13" s="200">
        <v>10</v>
      </c>
      <c r="L13" s="133">
        <f t="shared" si="4"/>
        <v>0</v>
      </c>
      <c r="M13" s="135" t="s">
        <v>5</v>
      </c>
      <c r="O13" s="187">
        <f>SUMIF($L$3:$L$47,1,$I$3:$I$47)</f>
        <v>0</v>
      </c>
      <c r="P13" s="187">
        <f>SUMIF($L$3:$L$47,2,$I$3:$I$47)</f>
        <v>0</v>
      </c>
      <c r="Q13" s="187">
        <f>SUMIF($L$3:$L$47,3,$I$3:$I$47)</f>
        <v>0</v>
      </c>
      <c r="R13" s="187">
        <f>SUMIF($L$3:$L$47,4,$I$3:$I$47)</f>
        <v>0</v>
      </c>
      <c r="S13" s="187">
        <f>SUMIF($L$3:$L$47,5,$I$3:$I$47)</f>
        <v>0</v>
      </c>
      <c r="T13" s="187">
        <f>SUMIF($L$3:$L$47,6,$I$3:$I$47)</f>
        <v>0</v>
      </c>
      <c r="U13" s="187">
        <f>SUMIF($L$3:$L$47,7,$I$3:$I$47)</f>
        <v>0</v>
      </c>
      <c r="V13" s="187">
        <f>SUMIF($L$3:$L$47,8,$I$3:$I$47)</f>
        <v>0</v>
      </c>
      <c r="W13" s="187">
        <f>SUMIF($L$3:$L$47,9,$I$3:$I$47)</f>
        <v>0</v>
      </c>
      <c r="X13" s="187">
        <f>SUMIF($L$3:$L$47,10,$I$3:$I$47)</f>
        <v>0</v>
      </c>
      <c r="Y13" s="187">
        <f>SUMIF($L$3:$L$47,11,$I$3:$I$47)</f>
        <v>0</v>
      </c>
      <c r="Z13" s="187">
        <f>SUMIF($L$3:$L$47,12,$I$3:$I$47)</f>
        <v>0</v>
      </c>
      <c r="AA13" s="1220">
        <f>SUMIF($L$3:$L$47,0,$I$3:$I$47)</f>
        <v>0</v>
      </c>
      <c r="AB13" s="1221"/>
    </row>
    <row r="14" spans="1:28" ht="13.35" customHeight="1">
      <c r="A14" s="50" t="s">
        <v>5</v>
      </c>
      <c r="B14" s="141"/>
      <c r="C14" s="80"/>
      <c r="D14" s="93"/>
      <c r="E14" s="226"/>
      <c r="F14" s="89"/>
      <c r="G14" s="81"/>
      <c r="H14" s="82"/>
      <c r="I14" s="83" t="str">
        <f t="shared" si="2"/>
        <v/>
      </c>
      <c r="J14" s="361" t="str">
        <f t="shared" si="3"/>
        <v/>
      </c>
      <c r="K14" s="200">
        <v>11</v>
      </c>
      <c r="L14" s="133">
        <f t="shared" si="4"/>
        <v>0</v>
      </c>
      <c r="M14" s="135" t="s">
        <v>5</v>
      </c>
      <c r="O14" s="1299">
        <f>SUM(O13:Z13)</f>
        <v>0</v>
      </c>
      <c r="P14" s="1300"/>
      <c r="Q14" s="1300"/>
      <c r="R14" s="1300"/>
      <c r="S14" s="1300"/>
      <c r="T14" s="1300"/>
      <c r="U14" s="1300"/>
      <c r="V14" s="1300"/>
      <c r="W14" s="1300"/>
      <c r="X14" s="1300"/>
      <c r="Y14" s="1300"/>
      <c r="Z14" s="1301"/>
      <c r="AA14" s="1222">
        <f>SUM(O13:Z13)+AA13</f>
        <v>0</v>
      </c>
      <c r="AB14" s="1223"/>
    </row>
    <row r="15" spans="1:28" ht="13.35" customHeight="1">
      <c r="A15" s="50" t="s">
        <v>5</v>
      </c>
      <c r="B15" s="141"/>
      <c r="C15" s="260"/>
      <c r="D15" s="93"/>
      <c r="E15" s="226"/>
      <c r="F15" s="89"/>
      <c r="G15" s="81"/>
      <c r="H15" s="82"/>
      <c r="I15" s="83" t="str">
        <f t="shared" si="2"/>
        <v/>
      </c>
      <c r="J15" s="361" t="str">
        <f t="shared" si="3"/>
        <v/>
      </c>
      <c r="K15" s="200">
        <v>12</v>
      </c>
      <c r="L15" s="133">
        <f t="shared" si="4"/>
        <v>0</v>
      </c>
      <c r="M15" s="135" t="s">
        <v>5</v>
      </c>
      <c r="O15" s="244"/>
      <c r="P15" s="244"/>
      <c r="Q15" s="244"/>
      <c r="R15" s="244"/>
      <c r="S15" s="244"/>
      <c r="T15" s="244"/>
      <c r="U15" s="244"/>
      <c r="V15" s="244"/>
      <c r="W15" s="244"/>
      <c r="X15" s="244"/>
      <c r="Y15" s="244"/>
      <c r="Z15" s="244"/>
      <c r="AA15" s="244"/>
      <c r="AB15" s="244"/>
    </row>
    <row r="16" spans="1:28" ht="13.35" customHeight="1">
      <c r="A16" s="50" t="s">
        <v>5</v>
      </c>
      <c r="B16" s="141"/>
      <c r="C16" s="80"/>
      <c r="D16" s="93"/>
      <c r="E16" s="226"/>
      <c r="F16" s="89"/>
      <c r="G16" s="81"/>
      <c r="H16" s="82"/>
      <c r="I16" s="83" t="str">
        <f t="shared" si="2"/>
        <v/>
      </c>
      <c r="J16" s="361" t="str">
        <f t="shared" si="3"/>
        <v/>
      </c>
      <c r="K16" s="200">
        <v>13</v>
      </c>
      <c r="L16" s="133">
        <f t="shared" si="4"/>
        <v>0</v>
      </c>
      <c r="M16" s="135" t="s">
        <v>5</v>
      </c>
      <c r="O16" s="244"/>
      <c r="P16" s="244"/>
      <c r="Q16" s="244"/>
      <c r="R16" s="244"/>
      <c r="S16" s="244"/>
      <c r="T16" s="244"/>
      <c r="U16" s="244"/>
      <c r="V16" s="244"/>
      <c r="W16" s="244"/>
      <c r="X16" s="244"/>
      <c r="Y16" s="244"/>
      <c r="Z16" s="244"/>
      <c r="AA16" s="244"/>
      <c r="AB16" s="244"/>
    </row>
    <row r="17" spans="1:28" ht="13.35" customHeight="1">
      <c r="A17" s="50" t="s">
        <v>5</v>
      </c>
      <c r="B17" s="141"/>
      <c r="C17" s="80"/>
      <c r="D17" s="93"/>
      <c r="E17" s="226"/>
      <c r="F17" s="89"/>
      <c r="G17" s="81"/>
      <c r="H17" s="82"/>
      <c r="I17" s="83" t="str">
        <f t="shared" si="2"/>
        <v/>
      </c>
      <c r="J17" s="361" t="str">
        <f t="shared" si="3"/>
        <v/>
      </c>
      <c r="K17" s="200">
        <v>14</v>
      </c>
      <c r="L17" s="133">
        <f t="shared" si="4"/>
        <v>0</v>
      </c>
      <c r="M17" s="135" t="s">
        <v>5</v>
      </c>
      <c r="O17" s="244"/>
      <c r="P17" s="244"/>
      <c r="Q17" s="244"/>
      <c r="R17" s="244"/>
      <c r="S17" s="244"/>
      <c r="T17" s="244"/>
      <c r="U17" s="244"/>
      <c r="V17" s="244"/>
      <c r="W17" s="244"/>
      <c r="X17" s="244"/>
      <c r="Y17" s="244"/>
      <c r="Z17" s="244"/>
      <c r="AA17" s="244"/>
      <c r="AB17" s="244"/>
    </row>
    <row r="18" spans="1:28" ht="13.35" customHeight="1">
      <c r="A18" s="50" t="s">
        <v>5</v>
      </c>
      <c r="B18" s="141"/>
      <c r="C18" s="80"/>
      <c r="D18" s="93"/>
      <c r="E18" s="226"/>
      <c r="F18" s="89"/>
      <c r="G18" s="81"/>
      <c r="H18" s="82"/>
      <c r="I18" s="83" t="str">
        <f t="shared" si="2"/>
        <v/>
      </c>
      <c r="J18" s="361" t="str">
        <f t="shared" si="3"/>
        <v/>
      </c>
      <c r="K18" s="200">
        <v>15</v>
      </c>
      <c r="L18" s="133">
        <f t="shared" si="4"/>
        <v>0</v>
      </c>
      <c r="M18" s="135" t="s">
        <v>5</v>
      </c>
      <c r="O18" s="244"/>
      <c r="P18" s="244"/>
      <c r="Q18" s="244"/>
      <c r="R18" s="244"/>
      <c r="S18" s="244"/>
      <c r="T18" s="244"/>
      <c r="U18" s="244"/>
      <c r="V18" s="244"/>
      <c r="W18" s="244"/>
      <c r="X18" s="244"/>
      <c r="Y18" s="244"/>
      <c r="Z18" s="244"/>
      <c r="AA18" s="244"/>
      <c r="AB18" s="244"/>
    </row>
    <row r="19" spans="1:28" ht="13.35" customHeight="1">
      <c r="A19" s="50" t="s">
        <v>5</v>
      </c>
      <c r="B19" s="141"/>
      <c r="C19" s="80"/>
      <c r="D19" s="93"/>
      <c r="E19" s="226"/>
      <c r="F19" s="89"/>
      <c r="G19" s="81"/>
      <c r="H19" s="82"/>
      <c r="I19" s="83" t="str">
        <f t="shared" si="2"/>
        <v/>
      </c>
      <c r="J19" s="361" t="str">
        <f t="shared" si="3"/>
        <v/>
      </c>
      <c r="K19" s="200">
        <v>16</v>
      </c>
      <c r="L19" s="133">
        <f t="shared" si="4"/>
        <v>0</v>
      </c>
      <c r="M19" s="135" t="s">
        <v>5</v>
      </c>
      <c r="O19" s="244"/>
      <c r="P19" s="244"/>
      <c r="Q19" s="244"/>
      <c r="R19" s="244"/>
      <c r="S19" s="244"/>
      <c r="T19" s="244"/>
      <c r="U19" s="244"/>
      <c r="V19" s="244"/>
      <c r="W19" s="244"/>
      <c r="X19" s="244"/>
      <c r="Y19" s="244"/>
      <c r="Z19" s="244"/>
      <c r="AA19" s="244"/>
      <c r="AB19" s="244"/>
    </row>
    <row r="20" spans="1:28" ht="13.35" customHeight="1">
      <c r="A20" s="50" t="s">
        <v>5</v>
      </c>
      <c r="B20" s="141"/>
      <c r="C20" s="80"/>
      <c r="D20" s="93"/>
      <c r="E20" s="226"/>
      <c r="F20" s="89"/>
      <c r="G20" s="81"/>
      <c r="H20" s="82"/>
      <c r="I20" s="83" t="str">
        <f t="shared" si="2"/>
        <v/>
      </c>
      <c r="J20" s="361" t="str">
        <f t="shared" si="3"/>
        <v/>
      </c>
      <c r="K20" s="200">
        <v>17</v>
      </c>
      <c r="L20" s="133">
        <f t="shared" si="4"/>
        <v>0</v>
      </c>
      <c r="M20" s="135" t="s">
        <v>5</v>
      </c>
      <c r="O20" s="244"/>
      <c r="P20" s="244"/>
      <c r="Q20" s="244"/>
      <c r="R20" s="244"/>
      <c r="S20" s="244"/>
      <c r="T20" s="244"/>
      <c r="U20" s="244"/>
      <c r="V20" s="244"/>
      <c r="W20" s="244"/>
      <c r="X20" s="244"/>
      <c r="Y20" s="244"/>
      <c r="Z20" s="244"/>
      <c r="AA20" s="244"/>
      <c r="AB20" s="244"/>
    </row>
    <row r="21" spans="1:28" ht="13.35" customHeight="1">
      <c r="A21" s="50" t="s">
        <v>5</v>
      </c>
      <c r="B21" s="141"/>
      <c r="C21" s="80"/>
      <c r="D21" s="93"/>
      <c r="E21" s="226"/>
      <c r="F21" s="89"/>
      <c r="G21" s="81"/>
      <c r="H21" s="82"/>
      <c r="I21" s="83" t="str">
        <f t="shared" si="2"/>
        <v/>
      </c>
      <c r="J21" s="361" t="str">
        <f t="shared" si="3"/>
        <v/>
      </c>
      <c r="K21" s="200">
        <v>18</v>
      </c>
      <c r="L21" s="133">
        <f t="shared" si="4"/>
        <v>0</v>
      </c>
      <c r="M21" s="135" t="s">
        <v>5</v>
      </c>
      <c r="O21" s="244"/>
      <c r="P21" s="244"/>
      <c r="Q21" s="244"/>
      <c r="R21" s="244"/>
      <c r="S21" s="244"/>
      <c r="T21" s="244"/>
      <c r="U21" s="244"/>
      <c r="V21" s="244"/>
      <c r="W21" s="244"/>
      <c r="X21" s="244"/>
      <c r="Y21" s="244"/>
      <c r="Z21" s="244"/>
      <c r="AA21" s="244"/>
      <c r="AB21" s="244"/>
    </row>
    <row r="22" spans="1:28" ht="13.35" customHeight="1">
      <c r="A22" s="50" t="s">
        <v>5</v>
      </c>
      <c r="B22" s="141"/>
      <c r="C22" s="80"/>
      <c r="D22" s="93"/>
      <c r="E22" s="226"/>
      <c r="F22" s="89"/>
      <c r="G22" s="81"/>
      <c r="H22" s="82"/>
      <c r="I22" s="83" t="str">
        <f t="shared" si="2"/>
        <v/>
      </c>
      <c r="J22" s="361" t="str">
        <f t="shared" si="3"/>
        <v/>
      </c>
      <c r="K22" s="200">
        <v>19</v>
      </c>
      <c r="L22" s="133">
        <f t="shared" si="4"/>
        <v>0</v>
      </c>
      <c r="M22" s="135" t="s">
        <v>5</v>
      </c>
      <c r="O22" s="244"/>
      <c r="P22" s="244"/>
      <c r="Q22" s="244"/>
      <c r="R22" s="244"/>
      <c r="S22" s="244"/>
      <c r="T22" s="244"/>
      <c r="U22" s="244"/>
      <c r="V22" s="244"/>
      <c r="W22" s="244"/>
      <c r="X22" s="244"/>
      <c r="Y22" s="244"/>
      <c r="Z22" s="244"/>
      <c r="AA22" s="244"/>
      <c r="AB22" s="244"/>
    </row>
    <row r="23" spans="1:28" ht="13.35" customHeight="1">
      <c r="A23" s="50" t="s">
        <v>5</v>
      </c>
      <c r="B23" s="141"/>
      <c r="C23" s="80"/>
      <c r="D23" s="94"/>
      <c r="E23" s="226"/>
      <c r="F23" s="89"/>
      <c r="G23" s="81"/>
      <c r="H23" s="82"/>
      <c r="I23" s="83" t="str">
        <f t="shared" si="2"/>
        <v/>
      </c>
      <c r="J23" s="361" t="str">
        <f t="shared" si="3"/>
        <v/>
      </c>
      <c r="K23" s="200">
        <v>20</v>
      </c>
      <c r="L23" s="133">
        <f t="shared" si="4"/>
        <v>0</v>
      </c>
      <c r="M23" s="135" t="s">
        <v>5</v>
      </c>
      <c r="O23" s="244"/>
      <c r="P23" s="244"/>
      <c r="Q23" s="244"/>
      <c r="R23" s="244"/>
      <c r="S23" s="244"/>
      <c r="T23" s="244"/>
      <c r="U23" s="244"/>
      <c r="V23" s="244"/>
      <c r="W23" s="244"/>
      <c r="X23" s="244"/>
      <c r="Y23" s="244"/>
      <c r="Z23" s="244"/>
      <c r="AA23" s="244"/>
      <c r="AB23" s="244"/>
    </row>
    <row r="24" spans="1:28" ht="13.35" customHeight="1">
      <c r="A24" s="50" t="s">
        <v>5</v>
      </c>
      <c r="B24" s="141"/>
      <c r="C24" s="80"/>
      <c r="D24" s="93"/>
      <c r="E24" s="226"/>
      <c r="F24" s="89"/>
      <c r="G24" s="81"/>
      <c r="H24" s="82"/>
      <c r="I24" s="83" t="str">
        <f t="shared" si="2"/>
        <v/>
      </c>
      <c r="J24" s="361" t="str">
        <f t="shared" si="3"/>
        <v/>
      </c>
      <c r="K24" s="200">
        <v>21</v>
      </c>
      <c r="L24" s="133">
        <f t="shared" si="4"/>
        <v>0</v>
      </c>
      <c r="M24" s="135" t="s">
        <v>5</v>
      </c>
      <c r="O24" s="244"/>
      <c r="P24" s="244"/>
      <c r="Q24" s="244"/>
      <c r="R24" s="244"/>
      <c r="S24" s="244"/>
      <c r="T24" s="244"/>
      <c r="U24" s="244"/>
      <c r="V24" s="244"/>
      <c r="W24" s="244"/>
      <c r="X24" s="244"/>
      <c r="Y24" s="244"/>
      <c r="Z24" s="244"/>
      <c r="AA24" s="244"/>
      <c r="AB24" s="244"/>
    </row>
    <row r="25" spans="1:28" ht="13.35" customHeight="1">
      <c r="A25" s="50" t="s">
        <v>5</v>
      </c>
      <c r="B25" s="141"/>
      <c r="C25" s="80"/>
      <c r="D25" s="93"/>
      <c r="E25" s="226"/>
      <c r="F25" s="89"/>
      <c r="G25" s="81"/>
      <c r="H25" s="82"/>
      <c r="I25" s="83" t="str">
        <f t="shared" si="2"/>
        <v/>
      </c>
      <c r="J25" s="361" t="str">
        <f t="shared" si="3"/>
        <v/>
      </c>
      <c r="K25" s="200">
        <v>22</v>
      </c>
      <c r="L25" s="133">
        <f t="shared" si="4"/>
        <v>0</v>
      </c>
      <c r="M25" s="135" t="s">
        <v>5</v>
      </c>
      <c r="O25" s="244"/>
      <c r="P25" s="244"/>
      <c r="Q25" s="244"/>
      <c r="R25" s="244"/>
      <c r="S25" s="244"/>
      <c r="T25" s="244"/>
      <c r="U25" s="244"/>
      <c r="V25" s="244"/>
      <c r="W25" s="244"/>
      <c r="X25" s="244"/>
      <c r="Y25" s="244"/>
      <c r="Z25" s="244"/>
      <c r="AA25" s="244"/>
      <c r="AB25" s="244"/>
    </row>
    <row r="26" spans="1:28" ht="13.35" customHeight="1">
      <c r="A26" s="50" t="s">
        <v>5</v>
      </c>
      <c r="B26" s="141"/>
      <c r="C26" s="80"/>
      <c r="D26" s="93"/>
      <c r="E26" s="226"/>
      <c r="F26" s="89"/>
      <c r="G26" s="81"/>
      <c r="H26" s="82"/>
      <c r="I26" s="83" t="str">
        <f t="shared" si="2"/>
        <v/>
      </c>
      <c r="J26" s="361" t="str">
        <f t="shared" si="3"/>
        <v/>
      </c>
      <c r="K26" s="200">
        <v>23</v>
      </c>
      <c r="L26" s="133">
        <f t="shared" si="4"/>
        <v>0</v>
      </c>
      <c r="M26" s="135" t="s">
        <v>5</v>
      </c>
      <c r="O26" s="244"/>
      <c r="P26" s="244"/>
      <c r="Q26" s="244"/>
      <c r="R26" s="244"/>
      <c r="S26" s="244"/>
      <c r="T26" s="244"/>
      <c r="U26" s="244"/>
      <c r="V26" s="244"/>
      <c r="W26" s="244"/>
      <c r="X26" s="244"/>
      <c r="Y26" s="244"/>
      <c r="Z26" s="244"/>
      <c r="AA26" s="244"/>
      <c r="AB26" s="244"/>
    </row>
    <row r="27" spans="1:28" ht="13.35" customHeight="1">
      <c r="A27" s="50" t="s">
        <v>5</v>
      </c>
      <c r="B27" s="141"/>
      <c r="C27" s="80"/>
      <c r="D27" s="93"/>
      <c r="E27" s="226"/>
      <c r="F27" s="89"/>
      <c r="G27" s="81"/>
      <c r="H27" s="82"/>
      <c r="I27" s="83" t="str">
        <f t="shared" si="2"/>
        <v/>
      </c>
      <c r="J27" s="361" t="str">
        <f t="shared" si="3"/>
        <v/>
      </c>
      <c r="K27" s="200">
        <v>24</v>
      </c>
      <c r="L27" s="133">
        <f t="shared" si="4"/>
        <v>0</v>
      </c>
      <c r="M27" s="135" t="s">
        <v>5</v>
      </c>
      <c r="O27" s="244"/>
      <c r="P27" s="244"/>
      <c r="Q27" s="244"/>
      <c r="R27" s="244"/>
      <c r="S27" s="244"/>
      <c r="T27" s="244"/>
      <c r="U27" s="244"/>
      <c r="V27" s="244"/>
      <c r="W27" s="244"/>
      <c r="X27" s="244"/>
      <c r="Y27" s="244"/>
      <c r="Z27" s="244"/>
      <c r="AA27" s="244"/>
      <c r="AB27" s="244"/>
    </row>
    <row r="28" spans="1:28" ht="13.35" customHeight="1">
      <c r="A28" s="50" t="s">
        <v>5</v>
      </c>
      <c r="B28" s="141"/>
      <c r="C28" s="80"/>
      <c r="D28" s="93"/>
      <c r="E28" s="226"/>
      <c r="F28" s="89"/>
      <c r="G28" s="81"/>
      <c r="H28" s="82"/>
      <c r="I28" s="83" t="str">
        <f t="shared" si="2"/>
        <v/>
      </c>
      <c r="J28" s="361" t="str">
        <f t="shared" si="3"/>
        <v/>
      </c>
      <c r="K28" s="200">
        <v>25</v>
      </c>
      <c r="L28" s="133">
        <f t="shared" si="4"/>
        <v>0</v>
      </c>
      <c r="M28" s="135" t="s">
        <v>5</v>
      </c>
      <c r="O28" s="244"/>
      <c r="P28" s="244"/>
      <c r="Q28" s="244"/>
      <c r="R28" s="244"/>
      <c r="S28" s="244"/>
      <c r="T28" s="244"/>
      <c r="U28" s="244"/>
      <c r="V28" s="244"/>
      <c r="W28" s="244"/>
      <c r="X28" s="244"/>
      <c r="Y28" s="244"/>
      <c r="Z28" s="244"/>
      <c r="AA28" s="244"/>
      <c r="AB28" s="244"/>
    </row>
    <row r="29" spans="1:28" ht="13.35" customHeight="1">
      <c r="A29" s="50" t="s">
        <v>5</v>
      </c>
      <c r="B29" s="141"/>
      <c r="C29" s="80"/>
      <c r="D29" s="93"/>
      <c r="E29" s="226"/>
      <c r="F29" s="89"/>
      <c r="G29" s="81"/>
      <c r="H29" s="82"/>
      <c r="I29" s="83" t="str">
        <f t="shared" si="2"/>
        <v/>
      </c>
      <c r="J29" s="361" t="str">
        <f t="shared" si="3"/>
        <v/>
      </c>
      <c r="K29" s="200">
        <v>26</v>
      </c>
      <c r="L29" s="133">
        <f t="shared" si="4"/>
        <v>0</v>
      </c>
      <c r="M29" s="135" t="s">
        <v>5</v>
      </c>
      <c r="O29" s="244"/>
      <c r="P29" s="244"/>
      <c r="Q29" s="244"/>
      <c r="R29" s="244"/>
      <c r="S29" s="244"/>
      <c r="T29" s="244"/>
      <c r="U29" s="244"/>
      <c r="V29" s="244"/>
      <c r="W29" s="244"/>
      <c r="X29" s="244"/>
      <c r="Y29" s="244"/>
      <c r="Z29" s="244"/>
      <c r="AA29" s="244"/>
      <c r="AB29" s="244"/>
    </row>
    <row r="30" spans="1:28" ht="13.35" customHeight="1">
      <c r="A30" s="50" t="s">
        <v>5</v>
      </c>
      <c r="B30" s="141"/>
      <c r="C30" s="80"/>
      <c r="D30" s="93"/>
      <c r="E30" s="226"/>
      <c r="F30" s="89"/>
      <c r="G30" s="81"/>
      <c r="H30" s="82"/>
      <c r="I30" s="83" t="str">
        <f t="shared" si="2"/>
        <v/>
      </c>
      <c r="J30" s="361" t="str">
        <f t="shared" si="3"/>
        <v/>
      </c>
      <c r="K30" s="200">
        <v>27</v>
      </c>
      <c r="L30" s="133">
        <f t="shared" si="4"/>
        <v>0</v>
      </c>
      <c r="M30" s="135" t="s">
        <v>5</v>
      </c>
      <c r="O30" s="244"/>
      <c r="P30" s="244"/>
      <c r="Q30" s="244"/>
      <c r="R30" s="244"/>
      <c r="S30" s="244"/>
      <c r="T30" s="244"/>
      <c r="U30" s="244"/>
      <c r="V30" s="244"/>
      <c r="W30" s="244"/>
      <c r="X30" s="244"/>
      <c r="Y30" s="244"/>
      <c r="Z30" s="244"/>
      <c r="AA30" s="244"/>
      <c r="AB30" s="244"/>
    </row>
    <row r="31" spans="1:28" ht="13.35" customHeight="1">
      <c r="A31" s="50" t="s">
        <v>5</v>
      </c>
      <c r="B31" s="141"/>
      <c r="C31" s="80"/>
      <c r="D31" s="93"/>
      <c r="E31" s="226"/>
      <c r="F31" s="89"/>
      <c r="G31" s="81"/>
      <c r="H31" s="82"/>
      <c r="I31" s="83" t="str">
        <f t="shared" si="2"/>
        <v/>
      </c>
      <c r="J31" s="361" t="str">
        <f t="shared" si="3"/>
        <v/>
      </c>
      <c r="K31" s="200">
        <v>28</v>
      </c>
      <c r="L31" s="133">
        <f t="shared" si="4"/>
        <v>0</v>
      </c>
      <c r="M31" s="135" t="s">
        <v>5</v>
      </c>
      <c r="O31" s="244"/>
      <c r="P31" s="244"/>
      <c r="Q31" s="244"/>
      <c r="R31" s="244"/>
      <c r="S31" s="244"/>
      <c r="T31" s="244"/>
      <c r="U31" s="244"/>
      <c r="V31" s="244"/>
      <c r="W31" s="244"/>
      <c r="X31" s="244"/>
      <c r="Y31" s="244"/>
      <c r="Z31" s="244"/>
      <c r="AA31" s="244"/>
      <c r="AB31" s="244"/>
    </row>
    <row r="32" spans="1:28" ht="13.35" customHeight="1">
      <c r="A32" s="50" t="s">
        <v>5</v>
      </c>
      <c r="B32" s="141"/>
      <c r="C32" s="80"/>
      <c r="D32" s="93"/>
      <c r="E32" s="226"/>
      <c r="F32" s="89"/>
      <c r="G32" s="81"/>
      <c r="H32" s="82"/>
      <c r="I32" s="83" t="str">
        <f t="shared" si="2"/>
        <v/>
      </c>
      <c r="J32" s="361" t="str">
        <f t="shared" si="3"/>
        <v/>
      </c>
      <c r="K32" s="200">
        <v>29</v>
      </c>
      <c r="L32" s="133">
        <f t="shared" si="4"/>
        <v>0</v>
      </c>
      <c r="M32" s="135" t="s">
        <v>5</v>
      </c>
      <c r="O32" s="244"/>
      <c r="P32" s="244"/>
      <c r="Q32" s="244"/>
      <c r="R32" s="244"/>
      <c r="S32" s="244"/>
      <c r="T32" s="244"/>
      <c r="U32" s="244"/>
      <c r="V32" s="244"/>
      <c r="W32" s="244"/>
      <c r="X32" s="244"/>
      <c r="Y32" s="244"/>
      <c r="Z32" s="244"/>
      <c r="AA32" s="244"/>
      <c r="AB32" s="244"/>
    </row>
    <row r="33" spans="1:28" ht="13.35" customHeight="1">
      <c r="A33" s="50" t="s">
        <v>5</v>
      </c>
      <c r="B33" s="141"/>
      <c r="C33" s="80"/>
      <c r="D33" s="93"/>
      <c r="E33" s="226"/>
      <c r="F33" s="89"/>
      <c r="G33" s="81"/>
      <c r="H33" s="82"/>
      <c r="I33" s="83" t="str">
        <f t="shared" si="2"/>
        <v/>
      </c>
      <c r="J33" s="361" t="str">
        <f t="shared" si="3"/>
        <v/>
      </c>
      <c r="K33" s="200">
        <v>30</v>
      </c>
      <c r="L33" s="133">
        <f t="shared" si="4"/>
        <v>0</v>
      </c>
      <c r="M33" s="135" t="s">
        <v>5</v>
      </c>
      <c r="O33" s="244"/>
      <c r="P33" s="244"/>
      <c r="Q33" s="244"/>
      <c r="R33" s="244"/>
      <c r="S33" s="244"/>
      <c r="T33" s="244"/>
      <c r="U33" s="244"/>
      <c r="V33" s="244"/>
      <c r="W33" s="244"/>
      <c r="X33" s="244"/>
      <c r="Y33" s="244"/>
      <c r="Z33" s="244"/>
      <c r="AA33" s="244"/>
      <c r="AB33" s="244"/>
    </row>
    <row r="34" spans="1:28" ht="13.35" customHeight="1">
      <c r="A34" s="50" t="s">
        <v>5</v>
      </c>
      <c r="B34" s="141"/>
      <c r="C34" s="80"/>
      <c r="D34" s="93"/>
      <c r="E34" s="226"/>
      <c r="F34" s="89"/>
      <c r="G34" s="81"/>
      <c r="H34" s="82"/>
      <c r="I34" s="83" t="str">
        <f t="shared" si="2"/>
        <v/>
      </c>
      <c r="J34" s="361" t="str">
        <f t="shared" si="3"/>
        <v/>
      </c>
      <c r="K34" s="200">
        <v>31</v>
      </c>
      <c r="L34" s="133">
        <f t="shared" si="4"/>
        <v>0</v>
      </c>
      <c r="M34" s="135" t="s">
        <v>5</v>
      </c>
      <c r="O34" s="244"/>
      <c r="P34" s="244"/>
      <c r="Q34" s="244"/>
      <c r="R34" s="244"/>
      <c r="S34" s="244"/>
      <c r="T34" s="244"/>
      <c r="U34" s="244"/>
      <c r="V34" s="244"/>
      <c r="W34" s="244"/>
      <c r="X34" s="244"/>
      <c r="Y34" s="244"/>
      <c r="Z34" s="244"/>
      <c r="AA34" s="244"/>
      <c r="AB34" s="244"/>
    </row>
    <row r="35" spans="1:28" ht="13.35" customHeight="1">
      <c r="A35" s="50" t="s">
        <v>5</v>
      </c>
      <c r="B35" s="141"/>
      <c r="C35" s="80"/>
      <c r="D35" s="93"/>
      <c r="E35" s="226"/>
      <c r="F35" s="89"/>
      <c r="G35" s="81"/>
      <c r="H35" s="82"/>
      <c r="I35" s="83" t="str">
        <f t="shared" si="2"/>
        <v/>
      </c>
      <c r="J35" s="361" t="str">
        <f t="shared" si="3"/>
        <v/>
      </c>
      <c r="K35" s="200">
        <v>32</v>
      </c>
      <c r="L35" s="133">
        <f t="shared" si="4"/>
        <v>0</v>
      </c>
      <c r="M35" s="135" t="s">
        <v>5</v>
      </c>
      <c r="O35" s="244"/>
      <c r="P35" s="244"/>
      <c r="Q35" s="244"/>
      <c r="R35" s="244"/>
      <c r="S35" s="244"/>
      <c r="T35" s="244"/>
      <c r="U35" s="244"/>
      <c r="V35" s="244"/>
      <c r="W35" s="244"/>
      <c r="X35" s="244"/>
      <c r="Y35" s="244"/>
      <c r="Z35" s="244"/>
      <c r="AA35" s="244"/>
      <c r="AB35" s="244"/>
    </row>
    <row r="36" spans="1:28" ht="13.35" customHeight="1">
      <c r="A36" s="50" t="s">
        <v>5</v>
      </c>
      <c r="B36" s="141"/>
      <c r="C36" s="80"/>
      <c r="D36" s="93"/>
      <c r="E36" s="226"/>
      <c r="F36" s="89"/>
      <c r="G36" s="81"/>
      <c r="H36" s="82"/>
      <c r="I36" s="83" t="str">
        <f t="shared" si="2"/>
        <v/>
      </c>
      <c r="J36" s="361" t="str">
        <f t="shared" si="3"/>
        <v/>
      </c>
      <c r="K36" s="200">
        <v>33</v>
      </c>
      <c r="L36" s="133">
        <f t="shared" si="4"/>
        <v>0</v>
      </c>
      <c r="M36" s="135" t="s">
        <v>5</v>
      </c>
      <c r="O36" s="244"/>
      <c r="P36" s="244"/>
      <c r="Q36" s="244"/>
      <c r="R36" s="244"/>
      <c r="S36" s="244"/>
      <c r="T36" s="244"/>
      <c r="U36" s="244"/>
      <c r="V36" s="244"/>
      <c r="W36" s="244"/>
      <c r="X36" s="244"/>
      <c r="Y36" s="244"/>
      <c r="Z36" s="244"/>
      <c r="AA36" s="244"/>
      <c r="AB36" s="244"/>
    </row>
    <row r="37" spans="1:28" ht="13.35" customHeight="1">
      <c r="A37" s="50" t="s">
        <v>5</v>
      </c>
      <c r="B37" s="141"/>
      <c r="C37" s="80"/>
      <c r="D37" s="93"/>
      <c r="E37" s="226"/>
      <c r="F37" s="89"/>
      <c r="G37" s="81"/>
      <c r="H37" s="82"/>
      <c r="I37" s="83" t="str">
        <f t="shared" si="2"/>
        <v/>
      </c>
      <c r="J37" s="361" t="str">
        <f t="shared" si="3"/>
        <v/>
      </c>
      <c r="K37" s="200">
        <v>34</v>
      </c>
      <c r="L37" s="133">
        <f t="shared" si="4"/>
        <v>0</v>
      </c>
      <c r="M37" s="135" t="s">
        <v>5</v>
      </c>
      <c r="O37" s="244"/>
      <c r="P37" s="244"/>
      <c r="Q37" s="244"/>
      <c r="R37" s="244"/>
      <c r="S37" s="244"/>
      <c r="T37" s="244"/>
      <c r="U37" s="244"/>
      <c r="V37" s="244"/>
      <c r="W37" s="244"/>
      <c r="X37" s="244"/>
      <c r="Y37" s="244"/>
      <c r="Z37" s="244"/>
      <c r="AA37" s="244"/>
      <c r="AB37" s="244"/>
    </row>
    <row r="38" spans="1:28" ht="13.35" customHeight="1">
      <c r="A38" s="50" t="s">
        <v>5</v>
      </c>
      <c r="B38" s="141"/>
      <c r="C38" s="80"/>
      <c r="D38" s="93"/>
      <c r="E38" s="226"/>
      <c r="F38" s="89"/>
      <c r="G38" s="81"/>
      <c r="H38" s="82"/>
      <c r="I38" s="83" t="str">
        <f t="shared" si="2"/>
        <v/>
      </c>
      <c r="J38" s="361" t="str">
        <f t="shared" si="3"/>
        <v/>
      </c>
      <c r="K38" s="200">
        <v>35</v>
      </c>
      <c r="L38" s="133">
        <f t="shared" si="4"/>
        <v>0</v>
      </c>
      <c r="M38" s="135" t="s">
        <v>5</v>
      </c>
      <c r="O38" s="244"/>
      <c r="P38" s="244"/>
      <c r="Q38" s="244"/>
      <c r="R38" s="244"/>
      <c r="S38" s="244"/>
      <c r="T38" s="244"/>
      <c r="U38" s="244"/>
      <c r="V38" s="244"/>
      <c r="W38" s="244"/>
      <c r="X38" s="244"/>
      <c r="Y38" s="244"/>
      <c r="Z38" s="244"/>
      <c r="AA38" s="244"/>
      <c r="AB38" s="244"/>
    </row>
    <row r="39" spans="1:28" ht="13.35" customHeight="1">
      <c r="A39" s="50" t="s">
        <v>5</v>
      </c>
      <c r="B39" s="141"/>
      <c r="C39" s="80"/>
      <c r="D39" s="93"/>
      <c r="E39" s="226"/>
      <c r="F39" s="89"/>
      <c r="G39" s="81"/>
      <c r="H39" s="82"/>
      <c r="I39" s="83" t="str">
        <f t="shared" si="2"/>
        <v/>
      </c>
      <c r="J39" s="361" t="str">
        <f t="shared" si="3"/>
        <v/>
      </c>
      <c r="K39" s="200">
        <v>36</v>
      </c>
      <c r="L39" s="133">
        <f t="shared" si="4"/>
        <v>0</v>
      </c>
      <c r="M39" s="135" t="s">
        <v>5</v>
      </c>
      <c r="O39" s="244"/>
      <c r="P39" s="244"/>
      <c r="Q39" s="244"/>
      <c r="R39" s="244"/>
      <c r="S39" s="244"/>
      <c r="T39" s="244"/>
      <c r="U39" s="244"/>
      <c r="V39" s="244"/>
      <c r="W39" s="244"/>
      <c r="X39" s="244"/>
      <c r="Y39" s="244"/>
      <c r="Z39" s="244"/>
      <c r="AA39" s="244"/>
      <c r="AB39" s="244"/>
    </row>
    <row r="40" spans="1:28" ht="13.35" customHeight="1">
      <c r="A40" s="50" t="s">
        <v>5</v>
      </c>
      <c r="B40" s="141"/>
      <c r="C40" s="80"/>
      <c r="D40" s="93"/>
      <c r="E40" s="226"/>
      <c r="F40" s="89"/>
      <c r="G40" s="81"/>
      <c r="H40" s="82"/>
      <c r="I40" s="83" t="str">
        <f t="shared" si="2"/>
        <v/>
      </c>
      <c r="J40" s="361" t="str">
        <f t="shared" si="3"/>
        <v/>
      </c>
      <c r="K40" s="200">
        <v>37</v>
      </c>
      <c r="L40" s="133">
        <f t="shared" si="4"/>
        <v>0</v>
      </c>
      <c r="M40" s="135" t="s">
        <v>5</v>
      </c>
      <c r="O40" s="244"/>
      <c r="P40" s="244"/>
      <c r="Q40" s="244"/>
      <c r="R40" s="244"/>
      <c r="S40" s="244"/>
      <c r="T40" s="244"/>
      <c r="U40" s="244"/>
      <c r="V40" s="244"/>
      <c r="W40" s="244"/>
      <c r="X40" s="244"/>
      <c r="Y40" s="244"/>
      <c r="Z40" s="244"/>
      <c r="AA40" s="244"/>
      <c r="AB40" s="244"/>
    </row>
    <row r="41" spans="1:28" ht="13.35" customHeight="1">
      <c r="A41" s="50" t="s">
        <v>5</v>
      </c>
      <c r="B41" s="141"/>
      <c r="C41" s="80"/>
      <c r="D41" s="93"/>
      <c r="E41" s="226"/>
      <c r="F41" s="89"/>
      <c r="G41" s="81"/>
      <c r="H41" s="82"/>
      <c r="I41" s="83" t="str">
        <f t="shared" si="2"/>
        <v/>
      </c>
      <c r="J41" s="361" t="str">
        <f t="shared" si="3"/>
        <v/>
      </c>
      <c r="K41" s="200">
        <v>38</v>
      </c>
      <c r="L41" s="133">
        <f t="shared" si="4"/>
        <v>0</v>
      </c>
      <c r="M41" s="135" t="s">
        <v>5</v>
      </c>
      <c r="O41" s="244"/>
      <c r="P41" s="244"/>
      <c r="Q41" s="244"/>
      <c r="R41" s="244"/>
      <c r="S41" s="244"/>
      <c r="T41" s="244"/>
      <c r="U41" s="244"/>
      <c r="V41" s="244"/>
      <c r="W41" s="244"/>
      <c r="X41" s="244"/>
      <c r="Y41" s="244"/>
      <c r="Z41" s="244"/>
      <c r="AA41" s="244"/>
      <c r="AB41" s="244"/>
    </row>
    <row r="42" spans="1:28" ht="13.35" customHeight="1">
      <c r="A42" s="50" t="s">
        <v>5</v>
      </c>
      <c r="B42" s="141"/>
      <c r="C42" s="80"/>
      <c r="D42" s="93"/>
      <c r="E42" s="226"/>
      <c r="F42" s="89"/>
      <c r="G42" s="81"/>
      <c r="H42" s="82"/>
      <c r="I42" s="83" t="str">
        <f t="shared" si="2"/>
        <v/>
      </c>
      <c r="J42" s="361" t="str">
        <f t="shared" si="3"/>
        <v/>
      </c>
      <c r="K42" s="200">
        <v>39</v>
      </c>
      <c r="L42" s="133">
        <f t="shared" si="4"/>
        <v>0</v>
      </c>
      <c r="M42" s="135" t="s">
        <v>5</v>
      </c>
      <c r="O42" s="244"/>
      <c r="P42" s="244"/>
      <c r="Q42" s="244"/>
      <c r="R42" s="244"/>
      <c r="S42" s="244"/>
      <c r="T42" s="244"/>
      <c r="U42" s="244"/>
      <c r="V42" s="244"/>
      <c r="W42" s="244"/>
      <c r="X42" s="244"/>
      <c r="Y42" s="244"/>
      <c r="Z42" s="244"/>
      <c r="AA42" s="244"/>
      <c r="AB42" s="244"/>
    </row>
    <row r="43" spans="1:28" ht="13.35" customHeight="1">
      <c r="A43" s="50" t="s">
        <v>5</v>
      </c>
      <c r="B43" s="141"/>
      <c r="C43" s="80"/>
      <c r="D43" s="93"/>
      <c r="E43" s="226"/>
      <c r="F43" s="89"/>
      <c r="G43" s="81"/>
      <c r="H43" s="82"/>
      <c r="I43" s="83" t="str">
        <f t="shared" si="2"/>
        <v/>
      </c>
      <c r="J43" s="361" t="str">
        <f t="shared" si="3"/>
        <v/>
      </c>
      <c r="K43" s="200">
        <v>40</v>
      </c>
      <c r="L43" s="133">
        <f t="shared" si="4"/>
        <v>0</v>
      </c>
      <c r="M43" s="135" t="s">
        <v>5</v>
      </c>
      <c r="O43" s="244"/>
      <c r="P43" s="244"/>
      <c r="Q43" s="244"/>
      <c r="R43" s="244"/>
      <c r="S43" s="244"/>
      <c r="T43" s="244"/>
      <c r="U43" s="244"/>
      <c r="V43" s="244"/>
      <c r="W43" s="244"/>
      <c r="X43" s="244"/>
      <c r="Y43" s="244"/>
      <c r="Z43" s="244"/>
      <c r="AA43" s="244"/>
      <c r="AB43" s="244"/>
    </row>
    <row r="44" spans="1:28" ht="13.35" customHeight="1">
      <c r="A44" s="50" t="s">
        <v>5</v>
      </c>
      <c r="B44" s="141"/>
      <c r="C44" s="80"/>
      <c r="D44" s="93"/>
      <c r="E44" s="226"/>
      <c r="F44" s="89"/>
      <c r="G44" s="81"/>
      <c r="H44" s="82"/>
      <c r="I44" s="83" t="str">
        <f t="shared" si="2"/>
        <v/>
      </c>
      <c r="J44" s="361" t="str">
        <f t="shared" si="3"/>
        <v/>
      </c>
      <c r="K44" s="200">
        <v>41</v>
      </c>
      <c r="L44" s="133">
        <f t="shared" si="4"/>
        <v>0</v>
      </c>
      <c r="M44" s="135" t="s">
        <v>5</v>
      </c>
      <c r="O44" s="244"/>
      <c r="P44" s="244"/>
      <c r="Q44" s="244"/>
      <c r="R44" s="244"/>
      <c r="S44" s="244"/>
      <c r="T44" s="244"/>
      <c r="U44" s="244"/>
      <c r="V44" s="244"/>
      <c r="W44" s="244"/>
      <c r="X44" s="244"/>
      <c r="Y44" s="244"/>
      <c r="Z44" s="244"/>
      <c r="AA44" s="244"/>
      <c r="AB44" s="244"/>
    </row>
    <row r="45" spans="1:28" ht="13.35" customHeight="1">
      <c r="A45" s="50" t="s">
        <v>5</v>
      </c>
      <c r="B45" s="141"/>
      <c r="C45" s="80"/>
      <c r="D45" s="93"/>
      <c r="E45" s="226"/>
      <c r="F45" s="89"/>
      <c r="G45" s="81"/>
      <c r="H45" s="82"/>
      <c r="I45" s="83" t="str">
        <f t="shared" ref="I45:I46" si="7">IF(G45&lt;&gt;"",+G45-G45/(1+H45/100),"")</f>
        <v/>
      </c>
      <c r="J45" s="361" t="str">
        <f t="shared" ref="J45:J46" si="8">IF(G45&lt;&gt;0,+G45-I45,"")</f>
        <v/>
      </c>
      <c r="K45" s="200">
        <v>44</v>
      </c>
      <c r="L45" s="133">
        <f t="shared" ref="L45:L46" si="9">IF(B45&lt;$O$2,0,IF(B45&lt;$P$2,1,IF(B45&lt;$Q$2,2,IF(B45&lt;$R$2,3,IF(B45&lt;$S$2,4,IF(B45&lt;$T$2,5,IF(B45&lt;$U$2,6,IF(B45&lt;$V$2,7,IF(B45&lt;$W$2,8,IF(B45&lt;$X$2,9,IF(B45&lt;$Y$2,10,IF(B45&lt;$Z$2,11,IF(B45&lt;=$Z$3,12,0)))))))))))))</f>
        <v>0</v>
      </c>
      <c r="M45" s="135" t="s">
        <v>5</v>
      </c>
      <c r="O45" s="244"/>
      <c r="P45" s="244"/>
      <c r="Q45" s="244"/>
      <c r="R45" s="244"/>
      <c r="S45" s="244"/>
      <c r="T45" s="244"/>
      <c r="U45" s="244"/>
      <c r="V45" s="244"/>
      <c r="W45" s="244"/>
      <c r="X45" s="244"/>
      <c r="Y45" s="244"/>
      <c r="Z45" s="244"/>
      <c r="AA45" s="244"/>
      <c r="AB45" s="244"/>
    </row>
    <row r="46" spans="1:28" ht="13.35" customHeight="1" thickBot="1">
      <c r="A46" s="50" t="s">
        <v>5</v>
      </c>
      <c r="B46" s="141"/>
      <c r="C46" s="80"/>
      <c r="D46" s="93"/>
      <c r="E46" s="226"/>
      <c r="F46" s="89"/>
      <c r="G46" s="81"/>
      <c r="H46" s="82"/>
      <c r="I46" s="83" t="str">
        <f t="shared" si="7"/>
        <v/>
      </c>
      <c r="J46" s="361" t="str">
        <f t="shared" si="8"/>
        <v/>
      </c>
      <c r="K46" s="200">
        <v>45</v>
      </c>
      <c r="L46" s="133">
        <f t="shared" si="9"/>
        <v>0</v>
      </c>
      <c r="M46" s="135" t="s">
        <v>5</v>
      </c>
      <c r="O46" s="244"/>
      <c r="P46" s="244"/>
      <c r="Q46" s="244"/>
      <c r="R46" s="244"/>
      <c r="S46" s="244"/>
      <c r="T46" s="244"/>
      <c r="U46" s="244"/>
      <c r="V46" s="244"/>
      <c r="W46" s="244"/>
      <c r="X46" s="244"/>
      <c r="Y46" s="244"/>
      <c r="Z46" s="244"/>
      <c r="AA46" s="244"/>
      <c r="AB46" s="244"/>
    </row>
    <row r="47" spans="1:28" ht="12" customHeight="1" thickTop="1" thickBot="1">
      <c r="A47" s="391" t="s">
        <v>283</v>
      </c>
      <c r="B47" s="1244" t="str">
        <f>IF($A$48=0,"^ Zeile einfügen","bis hierher ziehen!")</f>
        <v>^ Zeile einfügen</v>
      </c>
      <c r="C47" s="1244"/>
      <c r="D47" s="392" t="s">
        <v>5</v>
      </c>
      <c r="E47" s="393" t="s">
        <v>5</v>
      </c>
      <c r="F47" s="394" t="s">
        <v>5</v>
      </c>
      <c r="G47" s="394"/>
      <c r="H47" s="395"/>
      <c r="I47" s="396"/>
      <c r="J47" s="425"/>
      <c r="K47" s="201">
        <v>0</v>
      </c>
      <c r="L47" s="185" t="s">
        <v>5</v>
      </c>
      <c r="M47" s="398" t="s">
        <v>283</v>
      </c>
    </row>
    <row r="48" spans="1:28" ht="12" customHeight="1" thickTop="1" thickBot="1">
      <c r="A48" s="390">
        <f>COUNTBLANK(A3:A47)+A49</f>
        <v>0</v>
      </c>
      <c r="B48" s="193" t="str">
        <f>+EÜR!C42</f>
        <v>ü</v>
      </c>
      <c r="C48" s="194" t="s">
        <v>5</v>
      </c>
      <c r="D48" s="194" t="s">
        <v>5</v>
      </c>
      <c r="E48" s="195" t="s">
        <v>5</v>
      </c>
      <c r="F48" s="196" t="s">
        <v>5</v>
      </c>
      <c r="G48" s="197">
        <f>SUBTOTAL(9,G3:G47)</f>
        <v>0</v>
      </c>
      <c r="H48" s="1242">
        <f>SUBTOTAL(9,I3:I47)</f>
        <v>0</v>
      </c>
      <c r="I48" s="1243">
        <f>SUBTOTAL(9,I3:I47)</f>
        <v>0</v>
      </c>
      <c r="J48" s="1293">
        <f>G48-H48</f>
        <v>0</v>
      </c>
      <c r="K48" s="1294"/>
      <c r="L48" s="1295"/>
      <c r="M48" s="135" t="s">
        <v>5</v>
      </c>
    </row>
    <row r="49" spans="1:14" ht="12" customHeight="1" thickTop="1" thickBot="1">
      <c r="A49" s="390">
        <f>IF(ISERROR(J47),1,0)</f>
        <v>0</v>
      </c>
      <c r="B49" s="192">
        <f>J48-G49-E49-C49</f>
        <v>0</v>
      </c>
      <c r="C49" s="1239">
        <f>SUMIF(F4:F47,"Kreditkarte",G4:G47)</f>
        <v>0</v>
      </c>
      <c r="D49" s="1239"/>
      <c r="E49" s="1240">
        <f>SUMIF(F4:F47,"Konto",G4:G47)</f>
        <v>0</v>
      </c>
      <c r="F49" s="1240"/>
      <c r="G49" s="1241">
        <f>SUMIF(F4:F47,"Geldbeutel",G4:G47)</f>
        <v>0</v>
      </c>
      <c r="H49" s="1241"/>
      <c r="I49" s="1241"/>
      <c r="J49" s="1296"/>
      <c r="K49" s="1297"/>
      <c r="L49" s="1298"/>
      <c r="M49" s="135" t="s">
        <v>5</v>
      </c>
    </row>
    <row r="50" spans="1:14" s="15" customFormat="1" ht="5.25" customHeight="1" thickTop="1">
      <c r="A50" s="36"/>
      <c r="B50" s="2"/>
      <c r="C50" s="3"/>
      <c r="D50" s="3"/>
      <c r="E50" s="1"/>
      <c r="G50" s="16"/>
      <c r="H50" s="16"/>
      <c r="I50" s="17"/>
      <c r="J50" s="18"/>
      <c r="K50" s="18"/>
      <c r="L50" s="31"/>
      <c r="N50" s="148"/>
    </row>
    <row r="51" spans="1:14">
      <c r="A51" s="36"/>
    </row>
  </sheetData>
  <sheetProtection formatCells="0" insertRows="0" deleteRows="0" selectLockedCells="1" sort="0" autoFilter="0"/>
  <mergeCells count="15">
    <mergeCell ref="C2:I2"/>
    <mergeCell ref="J2:L2"/>
    <mergeCell ref="AA9:AB9"/>
    <mergeCell ref="O10:Z10"/>
    <mergeCell ref="O11:Z11"/>
    <mergeCell ref="AA4:AB4"/>
    <mergeCell ref="AA13:AB13"/>
    <mergeCell ref="O14:Z14"/>
    <mergeCell ref="AA14:AB14"/>
    <mergeCell ref="J48:L49"/>
    <mergeCell ref="C49:D49"/>
    <mergeCell ref="E49:F49"/>
    <mergeCell ref="G49:I49"/>
    <mergeCell ref="H48:I48"/>
    <mergeCell ref="B47:C47"/>
  </mergeCells>
  <conditionalFormatting sqref="A4:A46">
    <cfRule type="expression" dxfId="632" priority="22">
      <formula>ISERROR(J4)</formula>
    </cfRule>
    <cfRule type="cellIs" dxfId="631" priority="23" operator="equal">
      <formula>""</formula>
    </cfRule>
  </conditionalFormatting>
  <conditionalFormatting sqref="A47:C47">
    <cfRule type="expression" dxfId="630" priority="7">
      <formula>$A$48&lt;&gt;0</formula>
    </cfRule>
  </conditionalFormatting>
  <conditionalFormatting sqref="B2">
    <cfRule type="expression" dxfId="629" priority="49" stopIfTrue="1">
      <formula>$B$48="x"</formula>
    </cfRule>
  </conditionalFormatting>
  <conditionalFormatting sqref="B4:B46">
    <cfRule type="cellIs" dxfId="626" priority="36" operator="equal">
      <formula>""</formula>
    </cfRule>
  </conditionalFormatting>
  <conditionalFormatting sqref="B48">
    <cfRule type="cellIs" dxfId="625" priority="72" operator="equal">
      <formula>"y"</formula>
    </cfRule>
  </conditionalFormatting>
  <conditionalFormatting sqref="B3:J3">
    <cfRule type="expression" dxfId="624" priority="9840">
      <formula>$B$48="x"</formula>
    </cfRule>
  </conditionalFormatting>
  <conditionalFormatting sqref="B4:J46">
    <cfRule type="expression" dxfId="623" priority="32">
      <formula>$B$1="x"</formula>
    </cfRule>
  </conditionalFormatting>
  <conditionalFormatting sqref="B3:L3">
    <cfRule type="expression" dxfId="622" priority="66">
      <formula>$B$48="x"</formula>
    </cfRule>
  </conditionalFormatting>
  <conditionalFormatting sqref="C4:D46">
    <cfRule type="expression" dxfId="621" priority="39">
      <formula>AND($B4&lt;&gt;"",$C4="")</formula>
    </cfRule>
  </conditionalFormatting>
  <conditionalFormatting sqref="C49:I49">
    <cfRule type="cellIs" dxfId="620" priority="71" stopIfTrue="1" operator="lessThan">
      <formula>0</formula>
    </cfRule>
    <cfRule type="cellIs" dxfId="619" priority="69" stopIfTrue="1" operator="greaterThanOrEqual">
      <formula>0</formula>
    </cfRule>
  </conditionalFormatting>
  <conditionalFormatting sqref="D47:J47">
    <cfRule type="expression" dxfId="618" priority="9">
      <formula>$A$48&lt;&gt;0</formula>
    </cfRule>
  </conditionalFormatting>
  <conditionalFormatting sqref="H4:H46">
    <cfRule type="expression" dxfId="617" priority="35">
      <formula>AND(G4&lt;&gt;"",H4="",$I$1&lt;&gt;"x")</formula>
    </cfRule>
  </conditionalFormatting>
  <conditionalFormatting sqref="H4:I46">
    <cfRule type="expression" dxfId="616" priority="33">
      <formula>AND($I4&lt;&gt;0,$I$1&lt;&gt;"ü")</formula>
    </cfRule>
    <cfRule type="expression" dxfId="615" priority="34">
      <formula>$I$1&lt;&gt;"ü"</formula>
    </cfRule>
  </conditionalFormatting>
  <conditionalFormatting sqref="J48:L48 C49:L49 C48:H48">
    <cfRule type="expression" dxfId="613" priority="68">
      <formula>$B$48="x"</formula>
    </cfRule>
  </conditionalFormatting>
  <conditionalFormatting sqref="J48:L49">
    <cfRule type="expression" dxfId="612" priority="67">
      <formula>AND($B$48="x",$J$48&lt;&gt;0)</formula>
    </cfRule>
  </conditionalFormatting>
  <conditionalFormatting sqref="K4:L46">
    <cfRule type="expression" dxfId="611" priority="16139">
      <formula>$B$48="x"</formula>
    </cfRule>
  </conditionalFormatting>
  <conditionalFormatting sqref="M3">
    <cfRule type="cellIs" dxfId="610" priority="31" operator="equal">
      <formula>""</formula>
    </cfRule>
  </conditionalFormatting>
  <conditionalFormatting sqref="M4:M46">
    <cfRule type="expression" dxfId="609" priority="29">
      <formula>ISERROR(J4)</formula>
    </cfRule>
    <cfRule type="cellIs" dxfId="608" priority="30" operator="equal">
      <formula>""</formula>
    </cfRule>
  </conditionalFormatting>
  <conditionalFormatting sqref="M47">
    <cfRule type="expression" dxfId="607" priority="8">
      <formula>$A$48&lt;&gt;0</formula>
    </cfRule>
  </conditionalFormatting>
  <conditionalFormatting sqref="M47:M49">
    <cfRule type="cellIs" dxfId="606" priority="11" operator="equal">
      <formula>""</formula>
    </cfRule>
  </conditionalFormatting>
  <conditionalFormatting sqref="N10:AB10">
    <cfRule type="expression" dxfId="605" priority="6">
      <formula>$N$2=0</formula>
    </cfRule>
  </conditionalFormatting>
  <conditionalFormatting sqref="O11:Z11">
    <cfRule type="cellIs" dxfId="604" priority="53" operator="equal">
      <formula>"Fehler!"</formula>
    </cfRule>
  </conditionalFormatting>
  <conditionalFormatting sqref="O4:AA4">
    <cfRule type="expression" dxfId="600" priority="48">
      <formula>$N$2=0</formula>
    </cfRule>
  </conditionalFormatting>
  <conditionalFormatting sqref="O2:AB3">
    <cfRule type="expression" dxfId="598" priority="1">
      <formula>$N$2=0</formula>
    </cfRule>
  </conditionalFormatting>
  <conditionalFormatting sqref="O5:AB8 O9:AA9">
    <cfRule type="expression" dxfId="597" priority="52">
      <formula>$N$2=0</formula>
    </cfRule>
  </conditionalFormatting>
  <conditionalFormatting sqref="O11:AB14">
    <cfRule type="expression" dxfId="596" priority="3">
      <formula>$N$2=0</formula>
    </cfRule>
  </conditionalFormatting>
  <conditionalFormatting sqref="O47:AB49">
    <cfRule type="expression" dxfId="595" priority="10">
      <formula>$N$2=0</formula>
    </cfRule>
  </conditionalFormatting>
  <dataValidations count="2">
    <dataValidation type="list" allowBlank="1" showInputMessage="1" showErrorMessage="1" sqref="H4:H46" xr:uid="{026928C0-AFF4-4FD3-AEF4-3B9FABD86F5C}">
      <formula1>"19,7,0,~"</formula1>
    </dataValidation>
    <dataValidation type="list" allowBlank="1" showInputMessage="1" showErrorMessage="1" sqref="F4:F46" xr:uid="{60F1BC7E-EC12-4774-AB0C-D2F739E391C8}">
      <formula1>"Konto,Geldbeutel,Kreditkarte,x"</formula1>
    </dataValidation>
  </dataValidations>
  <hyperlinks>
    <hyperlink ref="J2" location="'2022 EÜR'!A1" display="Menü" xr:uid="{97D9DB81-2043-4390-894A-3D4CF8636541}"/>
    <hyperlink ref="J2:L2" location="EÜR!A1" display="EÜR" xr:uid="{5280F396-E3CC-48D3-A536-A86D161F903B}"/>
  </hyperlinks>
  <printOptions horizontalCentered="1"/>
  <pageMargins left="0" right="0" top="0" bottom="0.31496062992125984" header="0" footer="0"/>
  <pageSetup paperSize="9" orientation="portrait" r:id="rId1"/>
  <headerFooter>
    <oddFooter>&amp;L&amp;"Arial,Standard"&amp;8Datei: &amp;Z&amp;F/&amp;A&amp;C&amp;"Arial,Standard"&amp;8Seite &amp;P von &amp;N&amp;R&amp;"Arial,Standard"&amp;8Druck: &amp;D&amp;T Uhr</oddFooter>
  </headerFooter>
  <extLst>
    <ext xmlns:x14="http://schemas.microsoft.com/office/spreadsheetml/2009/9/main" uri="{78C0D931-6437-407d-A8EE-F0AAD7539E65}">
      <x14:conditionalFormattings>
        <x14:conditionalFormatting xmlns:xm="http://schemas.microsoft.com/office/excel/2006/main">
          <x14:cfRule type="cellIs" priority="37" operator="greaterThan" id="{98C5F16B-7892-4660-A415-213A35E2EF84}">
            <xm:f>EÜR!$I$78</xm:f>
            <x14:dxf>
              <font>
                <b/>
                <i val="0"/>
                <color rgb="FFFFFF00"/>
              </font>
              <fill>
                <patternFill>
                  <bgColor rgb="FFC00000"/>
                </patternFill>
              </fill>
            </x14:dxf>
          </x14:cfRule>
          <x14:cfRule type="cellIs" priority="38" operator="lessThan" id="{F275F5D0-FF88-4C07-AD8D-BCEA489AF728}">
            <xm:f>EÜR!$I$77</xm:f>
            <x14:dxf>
              <font>
                <b/>
                <i val="0"/>
                <color rgb="FFFFFF00"/>
              </font>
              <fill>
                <patternFill>
                  <bgColor rgb="FFC00000"/>
                </patternFill>
              </fill>
            </x14:dxf>
          </x14:cfRule>
          <xm:sqref>B4:B46</xm:sqref>
        </x14:conditionalFormatting>
        <x14:conditionalFormatting xmlns:xm="http://schemas.microsoft.com/office/excel/2006/main">
          <x14:cfRule type="expression" priority="50" id="{63A57D12-3AD5-4462-817B-6499876F1B82}">
            <xm:f>AND(EÜR!$J$66&lt;&gt;"ü",$H$48&lt;&gt;0)</xm:f>
            <x14:dxf>
              <font>
                <b/>
                <i val="0"/>
                <color rgb="FFFFFF00"/>
              </font>
              <fill>
                <patternFill>
                  <bgColor rgb="FFFF0000"/>
                </patternFill>
              </fill>
            </x14:dxf>
          </x14:cfRule>
          <xm:sqref>H48:I48</xm:sqref>
        </x14:conditionalFormatting>
        <x14:conditionalFormatting xmlns:xm="http://schemas.microsoft.com/office/excel/2006/main">
          <x14:cfRule type="expression" priority="54" id="{D357DA21-8282-4858-B03A-D1A3D36F39F8}">
            <xm:f>AND(O13&lt;&gt;0,U!L36="!",U!L37="!")</xm:f>
            <x14:dxf>
              <font>
                <b/>
                <i val="0"/>
                <color rgb="FFFF0000"/>
              </font>
              <fill>
                <patternFill>
                  <bgColor rgb="FFFFCCCC"/>
                </patternFill>
              </fill>
            </x14:dxf>
          </x14:cfRule>
          <x14:cfRule type="expression" priority="55" id="{2125198B-13FE-487D-AD97-D03B071EF529}">
            <xm:f>U!L37&lt;&gt;"!"</xm:f>
            <x14:dxf>
              <font>
                <b/>
                <i val="0"/>
                <color rgb="FF006666"/>
              </font>
              <fill>
                <patternFill>
                  <bgColor theme="6" tint="0.39994506668294322"/>
                </patternFill>
              </fill>
            </x14:dxf>
          </x14:cfRule>
          <x14:cfRule type="expression" priority="56" id="{32025F6D-7744-44AA-B935-E9B5B1CB9DCB}">
            <xm:f>U!L36&lt;&gt;"!"</xm:f>
            <x14:dxf>
              <font>
                <b/>
                <i val="0"/>
                <color theme="9" tint="-0.499984740745262"/>
              </font>
              <fill>
                <patternFill>
                  <bgColor rgb="FFFFFF99"/>
                </patternFill>
              </fill>
            </x14:dxf>
          </x14:cfRule>
          <xm:sqref>O13:Z13</xm:sqref>
        </x14:conditionalFormatting>
        <x14:conditionalFormatting xmlns:xm="http://schemas.microsoft.com/office/excel/2006/main">
          <x14:cfRule type="expression" priority="2" id="{D83C526C-8823-41E4-AF52-45F03654810E}">
            <xm:f>EÜR!$J$66="-"</xm:f>
            <x14:dxf>
              <font>
                <b/>
                <i val="0"/>
                <color theme="0"/>
              </font>
              <fill>
                <patternFill>
                  <bgColor theme="0"/>
                </patternFill>
              </fill>
              <border>
                <left/>
                <right/>
                <top/>
                <bottom/>
              </border>
            </x14:dxf>
          </x14:cfRule>
          <xm:sqref>O12:AA14</xm:sqref>
        </x14:conditionalFormatting>
      </x14:conditionalFormattings>
    </ext>
  </extLst>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415355-006A-4594-B77C-0FB4D6F68CBE}">
  <sheetPr>
    <tabColor theme="9" tint="0.39997558519241921"/>
    <pageSetUpPr autoPageBreaks="0"/>
  </sheetPr>
  <dimension ref="A1:AB51"/>
  <sheetViews>
    <sheetView showGridLines="0" showRowColHeaders="0" zoomScaleNormal="100" workbookViewId="0">
      <pane ySplit="3" topLeftCell="A4" activePane="bottomLeft" state="frozen"/>
      <selection activeCell="F4" sqref="F4:F46"/>
      <selection pane="bottomLeft" activeCell="A4" sqref="A4"/>
    </sheetView>
  </sheetViews>
  <sheetFormatPr baseColWidth="10" defaultColWidth="9.77734375" defaultRowHeight="12.75"/>
  <cols>
    <col min="1" max="1" width="0.77734375" style="12" customWidth="1"/>
    <col min="2" max="2" width="7.6640625" style="30" customWidth="1"/>
    <col min="3" max="3" width="21.6640625" style="24" customWidth="1"/>
    <col min="4" max="4" width="7.6640625" style="24" customWidth="1"/>
    <col min="5" max="5" width="6.6640625" style="25" customWidth="1"/>
    <col min="6" max="6" width="9.6640625" style="26" customWidth="1"/>
    <col min="7" max="7" width="9.6640625" style="27" customWidth="1"/>
    <col min="8" max="8" width="2.6640625" style="28" customWidth="1"/>
    <col min="9" max="9" width="6.6640625" style="29" customWidth="1"/>
    <col min="10" max="10" width="9.6640625" style="27" customWidth="1"/>
    <col min="11" max="11" width="2.5546875" style="27" hidden="1" customWidth="1"/>
    <col min="12" max="12" width="1.5546875" style="32" hidden="1" customWidth="1"/>
    <col min="13" max="13" width="0.77734375" style="13" customWidth="1"/>
    <col min="14" max="14" width="1.77734375" style="147" customWidth="1"/>
    <col min="15" max="26" width="8.77734375" style="13" customWidth="1"/>
    <col min="27" max="27" width="10.33203125" style="13" customWidth="1"/>
    <col min="28" max="28" width="8.33203125" style="13" customWidth="1"/>
    <col min="29" max="16384" width="9.77734375" style="13"/>
  </cols>
  <sheetData>
    <row r="1" spans="1:28" s="37" customFormat="1" ht="3" customHeight="1" thickBot="1">
      <c r="A1" s="36"/>
      <c r="B1" s="53" t="str">
        <f>+B48</f>
        <v>ü</v>
      </c>
      <c r="C1" s="54">
        <f>+C49</f>
        <v>0</v>
      </c>
      <c r="D1" s="54"/>
      <c r="E1" s="53">
        <f>+E49</f>
        <v>0</v>
      </c>
      <c r="F1" s="53"/>
      <c r="G1" s="54">
        <f>+G49</f>
        <v>0</v>
      </c>
      <c r="H1" s="53"/>
      <c r="I1" s="338" t="str">
        <f>+EÜR!J66</f>
        <v>-</v>
      </c>
      <c r="J1" s="54">
        <f>+J48</f>
        <v>0</v>
      </c>
      <c r="K1" s="198"/>
      <c r="L1" s="56"/>
      <c r="N1" s="190"/>
    </row>
    <row r="2" spans="1:28" ht="23.1" customHeight="1" thickTop="1" thickBot="1">
      <c r="A2" s="36"/>
      <c r="B2" s="296" t="str">
        <f>+EÜR!D43</f>
        <v>A22</v>
      </c>
      <c r="C2" s="1290" t="str">
        <f>+EÜR!F43</f>
        <v>übrige unbeschränkte Ausgaben</v>
      </c>
      <c r="D2" s="1291"/>
      <c r="E2" s="1291"/>
      <c r="F2" s="1291"/>
      <c r="G2" s="1291"/>
      <c r="H2" s="1291"/>
      <c r="I2" s="1292"/>
      <c r="J2" s="1227" t="s">
        <v>8</v>
      </c>
      <c r="K2" s="1228"/>
      <c r="L2" s="1229"/>
      <c r="M2" s="134"/>
      <c r="N2" s="190">
        <f>IF(OR(B48="x",N3=1),0,1)</f>
        <v>1</v>
      </c>
      <c r="O2" s="188">
        <f>+EOMONTH(EÜR!$I$3,-1)+1</f>
        <v>46023</v>
      </c>
      <c r="P2" s="188">
        <f t="shared" ref="P2:Z2" si="0">+O3+1</f>
        <v>46054</v>
      </c>
      <c r="Q2" s="188">
        <f t="shared" si="0"/>
        <v>46082</v>
      </c>
      <c r="R2" s="188">
        <f t="shared" si="0"/>
        <v>46113</v>
      </c>
      <c r="S2" s="188">
        <f t="shared" si="0"/>
        <v>46143</v>
      </c>
      <c r="T2" s="188">
        <f t="shared" si="0"/>
        <v>46174</v>
      </c>
      <c r="U2" s="188">
        <f t="shared" si="0"/>
        <v>46204</v>
      </c>
      <c r="V2" s="188">
        <f t="shared" si="0"/>
        <v>46235</v>
      </c>
      <c r="W2" s="188">
        <f t="shared" si="0"/>
        <v>46266</v>
      </c>
      <c r="X2" s="188">
        <f t="shared" si="0"/>
        <v>46296</v>
      </c>
      <c r="Y2" s="188">
        <f t="shared" si="0"/>
        <v>46327</v>
      </c>
      <c r="Z2" s="188">
        <f t="shared" si="0"/>
        <v>46357</v>
      </c>
      <c r="AA2" s="48"/>
    </row>
    <row r="3" spans="1:28" ht="14.25" customHeight="1" thickTop="1">
      <c r="A3" s="36" t="s">
        <v>5</v>
      </c>
      <c r="B3" s="58" t="s">
        <v>1</v>
      </c>
      <c r="C3" s="59" t="s">
        <v>6</v>
      </c>
      <c r="D3" s="60"/>
      <c r="E3" s="310" t="s">
        <v>7</v>
      </c>
      <c r="F3" s="61" t="s">
        <v>4</v>
      </c>
      <c r="G3" s="62" t="s">
        <v>31</v>
      </c>
      <c r="H3" s="63" t="s">
        <v>33</v>
      </c>
      <c r="I3" s="64" t="s">
        <v>32</v>
      </c>
      <c r="J3" s="275" t="s">
        <v>34</v>
      </c>
      <c r="K3" s="199">
        <v>0</v>
      </c>
      <c r="L3" s="65" t="s">
        <v>5</v>
      </c>
      <c r="M3" s="135" t="s">
        <v>5</v>
      </c>
      <c r="N3" s="222">
        <f>IF(SUBTOTAL(109,K3:K47)&lt;&gt;SUM(K3:K47),1,0)</f>
        <v>0</v>
      </c>
      <c r="O3" s="189">
        <f>EOMONTH(O2,0)</f>
        <v>46053</v>
      </c>
      <c r="P3" s="189">
        <f t="shared" ref="P3:Z3" si="1">EOMONTH(P2,0)</f>
        <v>46081</v>
      </c>
      <c r="Q3" s="189">
        <f t="shared" si="1"/>
        <v>46112</v>
      </c>
      <c r="R3" s="189">
        <f t="shared" si="1"/>
        <v>46142</v>
      </c>
      <c r="S3" s="189">
        <f t="shared" si="1"/>
        <v>46173</v>
      </c>
      <c r="T3" s="189">
        <f t="shared" si="1"/>
        <v>46203</v>
      </c>
      <c r="U3" s="189">
        <f t="shared" si="1"/>
        <v>46234</v>
      </c>
      <c r="V3" s="189">
        <f t="shared" si="1"/>
        <v>46265</v>
      </c>
      <c r="W3" s="189">
        <f t="shared" si="1"/>
        <v>46295</v>
      </c>
      <c r="X3" s="189">
        <f t="shared" si="1"/>
        <v>46326</v>
      </c>
      <c r="Y3" s="189">
        <f t="shared" si="1"/>
        <v>46356</v>
      </c>
      <c r="Z3" s="189">
        <f t="shared" si="1"/>
        <v>46387</v>
      </c>
      <c r="AB3" s="14"/>
    </row>
    <row r="4" spans="1:28" ht="13.35" customHeight="1">
      <c r="A4" s="50" t="s">
        <v>5</v>
      </c>
      <c r="B4" s="141"/>
      <c r="C4" s="80"/>
      <c r="D4" s="93"/>
      <c r="E4" s="226"/>
      <c r="F4" s="89"/>
      <c r="G4" s="81"/>
      <c r="H4" s="82"/>
      <c r="I4" s="83" t="str">
        <f t="shared" ref="I4:I44" si="2">IF(G4&lt;&gt;"",+G4-G4/(1+H4/100),"")</f>
        <v/>
      </c>
      <c r="J4" s="361" t="str">
        <f t="shared" ref="J4:J44" si="3">IF(G4&lt;&gt;0,+G4-I4,"")</f>
        <v/>
      </c>
      <c r="K4" s="200">
        <v>1</v>
      </c>
      <c r="L4" s="133">
        <f>IF(B4&lt;$O$2,0,IF(B4&lt;$P$2,1,IF(B4&lt;$Q$2,2,IF(B4&lt;$R$2,3,IF(B4&lt;$S$2,4,IF(B4&lt;$T$2,5,IF(B4&lt;$U$2,6,IF(B4&lt;$V$2,7,IF(B4&lt;$W$2,8,IF(B4&lt;$X$2,9,IF(B4&lt;$Y$2,10,IF(B4&lt;$Z$2,11,IF(B4&lt;=$Z$3,12,0)))))))))))))</f>
        <v>0</v>
      </c>
      <c r="M4" s="135" t="s">
        <v>5</v>
      </c>
      <c r="N4" s="190">
        <f>+N10+AA12+AA16</f>
        <v>0</v>
      </c>
      <c r="O4" s="251" t="s">
        <v>36</v>
      </c>
      <c r="P4" s="251" t="s">
        <v>37</v>
      </c>
      <c r="Q4" s="251" t="s">
        <v>38</v>
      </c>
      <c r="R4" s="251" t="s">
        <v>39</v>
      </c>
      <c r="S4" s="251" t="s">
        <v>40</v>
      </c>
      <c r="T4" s="251" t="s">
        <v>41</v>
      </c>
      <c r="U4" s="251" t="s">
        <v>42</v>
      </c>
      <c r="V4" s="251" t="s">
        <v>43</v>
      </c>
      <c r="W4" s="251" t="s">
        <v>44</v>
      </c>
      <c r="X4" s="251" t="s">
        <v>45</v>
      </c>
      <c r="Y4" s="251" t="s">
        <v>46</v>
      </c>
      <c r="Z4" s="251" t="s">
        <v>47</v>
      </c>
      <c r="AA4" s="1209" t="s">
        <v>255</v>
      </c>
      <c r="AB4" s="1210"/>
    </row>
    <row r="5" spans="1:28" ht="13.35" customHeight="1">
      <c r="A5" s="50" t="s">
        <v>5</v>
      </c>
      <c r="B5" s="141"/>
      <c r="C5" s="80"/>
      <c r="D5" s="93"/>
      <c r="E5" s="226"/>
      <c r="F5" s="89"/>
      <c r="G5" s="81"/>
      <c r="H5" s="82"/>
      <c r="I5" s="83" t="str">
        <f t="shared" si="2"/>
        <v/>
      </c>
      <c r="J5" s="361" t="str">
        <f t="shared" si="3"/>
        <v/>
      </c>
      <c r="K5" s="200">
        <v>2</v>
      </c>
      <c r="L5" s="133">
        <f t="shared" ref="L5:L44" si="4">IF(B5&lt;$O$2,0,IF(B5&lt;$P$2,1,IF(B5&lt;$Q$2,2,IF(B5&lt;$R$2,3,IF(B5&lt;$S$2,4,IF(B5&lt;$T$2,5,IF(B5&lt;$U$2,6,IF(B5&lt;$V$2,7,IF(B5&lt;$W$2,8,IF(B5&lt;$X$2,9,IF(B5&lt;$Y$2,10,IF(B5&lt;$Z$2,11,IF(B5&lt;=$Z$3,12,0)))))))))))))</f>
        <v>0</v>
      </c>
      <c r="M5" s="135" t="s">
        <v>5</v>
      </c>
      <c r="O5" s="252">
        <f>SUMIFS($G$3:$G$47,$L$3:$L$47,1,$F$3:$F$47,"Konto")</f>
        <v>0</v>
      </c>
      <c r="P5" s="252">
        <f>SUMIFS($G$3:$G$47,$L$3:$L$47,2,$F$3:$F$47,"Konto")</f>
        <v>0</v>
      </c>
      <c r="Q5" s="252">
        <f>SUMIFS($G$3:$G$47,$L$3:$L$47,3,$F$3:$F$47,"Konto")</f>
        <v>0</v>
      </c>
      <c r="R5" s="252">
        <f>SUMIFS($G$3:$G$47,$L$3:$L$47,4,$F$3:$F$47,"Konto")</f>
        <v>0</v>
      </c>
      <c r="S5" s="252">
        <f>SUMIFS($G$3:$G$47,$L$3:$L$47,5,$F$3:$F$47,"Konto")</f>
        <v>0</v>
      </c>
      <c r="T5" s="252">
        <f>SUMIFS($G$3:$G$47,$L$3:$L$47,6,$F$3:$F$47,"Konto")</f>
        <v>0</v>
      </c>
      <c r="U5" s="252">
        <f>SUMIFS($G$3:$G$47,$L$3:$L$47,7,$F$3:$F$47,"Konto")</f>
        <v>0</v>
      </c>
      <c r="V5" s="252">
        <f>SUMIFS($G$3:$G$47,$L$3:$L$47,8,$F$3:$F$47,"Konto")</f>
        <v>0</v>
      </c>
      <c r="W5" s="252">
        <f>SUMIFS($G$3:$G$47,$L$3:$L$47,9,$F$3:$F$47,"Konto")</f>
        <v>0</v>
      </c>
      <c r="X5" s="252">
        <f>SUMIFS($G$3:$G$47,$L$3:$L$47,10,$F$3:$F$47,"Konto")</f>
        <v>0</v>
      </c>
      <c r="Y5" s="252">
        <f>SUMIFS($G$3:$G$47,$L$3:$L$47,11,$F$3:$F$47,"Konto")</f>
        <v>0</v>
      </c>
      <c r="Z5" s="252">
        <f>SUMIFS($G$3:$G$47,$L$3:$L$47,12,$F$3:$F$47,"Konto")</f>
        <v>0</v>
      </c>
      <c r="AA5" s="253">
        <f>SUM(O5:Z5)</f>
        <v>0</v>
      </c>
      <c r="AB5" s="254" t="s">
        <v>140</v>
      </c>
    </row>
    <row r="6" spans="1:28" ht="13.35" customHeight="1">
      <c r="A6" s="50" t="s">
        <v>5</v>
      </c>
      <c r="B6" s="141"/>
      <c r="C6" s="80"/>
      <c r="D6" s="93"/>
      <c r="E6" s="226"/>
      <c r="F6" s="89"/>
      <c r="G6" s="81"/>
      <c r="H6" s="82"/>
      <c r="I6" s="83" t="str">
        <f t="shared" si="2"/>
        <v/>
      </c>
      <c r="J6" s="361" t="str">
        <f t="shared" si="3"/>
        <v/>
      </c>
      <c r="K6" s="200">
        <v>3</v>
      </c>
      <c r="L6" s="133">
        <f t="shared" si="4"/>
        <v>0</v>
      </c>
      <c r="M6" s="135" t="s">
        <v>5</v>
      </c>
      <c r="N6" s="190"/>
      <c r="O6" s="252">
        <f>SUMIFS($G$3:$G$47,$L$3:$L$47,1,$F$3:$F$47,"Kreditkarte")</f>
        <v>0</v>
      </c>
      <c r="P6" s="252">
        <f>SUMIFS($G$3:$G$47,$L$3:$L$47,2,$F$3:$F$47,"Kreditkarte")</f>
        <v>0</v>
      </c>
      <c r="Q6" s="252">
        <f>SUMIFS($G$3:$G$47,$L$3:$L$47,3,$F$3:$F$47,"Kreditkarte")</f>
        <v>0</v>
      </c>
      <c r="R6" s="252">
        <f>SUMIFS($G$3:$G$47,$L$3:$L$47,4,$F$3:$F$47,"Kreditkarte")</f>
        <v>0</v>
      </c>
      <c r="S6" s="252">
        <f>SUMIFS($G$3:$G$47,$L$3:$L$47,5,$F$3:$F$47,"Kreditkarte")</f>
        <v>0</v>
      </c>
      <c r="T6" s="252">
        <f>SUMIFS($G$3:$G$47,$L$3:$L$47,6,$F$3:$F$47,"Kreditkarte")</f>
        <v>0</v>
      </c>
      <c r="U6" s="252">
        <f>SUMIFS($G$3:$G$47,$L$3:$L$47,7,$F$3:$F$47,"Kreditkarte")</f>
        <v>0</v>
      </c>
      <c r="V6" s="252">
        <f>SUMIFS($G$3:$G$47,$L$3:$L$47,8,$F$3:$F$47,"Kreditkarte")</f>
        <v>0</v>
      </c>
      <c r="W6" s="252">
        <f>SUMIFS($G$3:$G$47,$L$3:$L$47,9,$F$3:$F$47,"Kreditkarte")</f>
        <v>0</v>
      </c>
      <c r="X6" s="252">
        <f>SUMIFS($G$3:$G$47,$L$3:$L$47,10,$F$3:$F$47,"Kreditkarte")</f>
        <v>0</v>
      </c>
      <c r="Y6" s="252">
        <f>SUMIFS($G$3:$G$47,$L$3:$L$47,11,$F$3:$F$47,"Kreditkarte")</f>
        <v>0</v>
      </c>
      <c r="Z6" s="252">
        <f>SUMIFS($G$3:$G$47,$L$3:$L$47,12,$F$3:$F$47,"Kreditkarte")</f>
        <v>0</v>
      </c>
      <c r="AA6" s="255">
        <f t="shared" ref="AA6:AA8" si="5">SUM(O6:Z6)</f>
        <v>0</v>
      </c>
      <c r="AB6" s="256" t="s">
        <v>142</v>
      </c>
    </row>
    <row r="7" spans="1:28" ht="13.35" customHeight="1">
      <c r="A7" s="50" t="s">
        <v>5</v>
      </c>
      <c r="B7" s="141"/>
      <c r="C7" s="80"/>
      <c r="D7" s="93"/>
      <c r="E7" s="226"/>
      <c r="F7" s="89"/>
      <c r="G7" s="81"/>
      <c r="H7" s="82"/>
      <c r="I7" s="83" t="str">
        <f t="shared" si="2"/>
        <v/>
      </c>
      <c r="J7" s="361" t="str">
        <f t="shared" si="3"/>
        <v/>
      </c>
      <c r="K7" s="200">
        <v>4</v>
      </c>
      <c r="L7" s="133">
        <f t="shared" si="4"/>
        <v>0</v>
      </c>
      <c r="M7" s="135" t="s">
        <v>5</v>
      </c>
      <c r="O7" s="252">
        <f>SUMIFS($G$3:$G$47,$L$3:$L$47,1,$F$3:$F$47,"Geldbeutel")</f>
        <v>0</v>
      </c>
      <c r="P7" s="252">
        <f>SUMIFS($G$3:$G$47,$L$3:$L$47,2,$F$3:$F$47,"Geldbeutel")</f>
        <v>0</v>
      </c>
      <c r="Q7" s="252">
        <f>SUMIFS($G$3:$G$47,$L$3:$L$47,3,$F$3:$F$47,"Geldbeutel")</f>
        <v>0</v>
      </c>
      <c r="R7" s="252">
        <f>SUMIFS($G$3:$G$47,$L$3:$L$47,4,$F$3:$F$47,"Geldbeutel")</f>
        <v>0</v>
      </c>
      <c r="S7" s="252">
        <f>SUMIFS($G$3:$G$47,$L$3:$L$47,5,$F$3:$F$47,"Geldbeutel")</f>
        <v>0</v>
      </c>
      <c r="T7" s="252">
        <f>SUMIFS($G$3:$G$47,$L$3:$L$47,6,$F$3:$F$47,"Geldbeutel")</f>
        <v>0</v>
      </c>
      <c r="U7" s="252">
        <f>SUMIFS($G$3:$G$47,$L$3:$L$47,7,$F$3:$F$47,"Geldbeutel")</f>
        <v>0</v>
      </c>
      <c r="V7" s="252">
        <f>SUMIFS($G$3:$G$47,$L$3:$L$47,8,$F$3:$F$47,"Geldbeutel")</f>
        <v>0</v>
      </c>
      <c r="W7" s="252">
        <f>SUMIFS($G$3:$G$47,$L$3:$L$47,9,$F$3:$F$47,"Geldbeutel")</f>
        <v>0</v>
      </c>
      <c r="X7" s="252">
        <f>SUMIFS($G$3:$G$47,$L$3:$L$47,10,$F$3:$F$47,"Geldbeutel")</f>
        <v>0</v>
      </c>
      <c r="Y7" s="252">
        <f>SUMIFS($G$3:$G$47,$L$3:$L$47,11,$F$3:$F$47,"Geldbeutel")</f>
        <v>0</v>
      </c>
      <c r="Z7" s="252">
        <f>SUMIFS($G$3:$G$47,$L$3:$L$47,12,$F$3:$F$47,"Geldbeutel")</f>
        <v>0</v>
      </c>
      <c r="AA7" s="253">
        <f t="shared" si="5"/>
        <v>0</v>
      </c>
      <c r="AB7" s="254" t="s">
        <v>139</v>
      </c>
    </row>
    <row r="8" spans="1:28" ht="13.35" customHeight="1">
      <c r="A8" s="50" t="s">
        <v>5</v>
      </c>
      <c r="B8" s="141"/>
      <c r="C8" s="80"/>
      <c r="D8" s="93"/>
      <c r="E8" s="226"/>
      <c r="F8" s="89"/>
      <c r="G8" s="81"/>
      <c r="H8" s="82"/>
      <c r="I8" s="83" t="str">
        <f t="shared" si="2"/>
        <v/>
      </c>
      <c r="J8" s="361" t="str">
        <f t="shared" si="3"/>
        <v/>
      </c>
      <c r="K8" s="200">
        <v>5</v>
      </c>
      <c r="L8" s="133">
        <f t="shared" si="4"/>
        <v>0</v>
      </c>
      <c r="M8" s="135" t="s">
        <v>5</v>
      </c>
      <c r="O8" s="252">
        <f>SUMIFS($G$3:$G$47,$L$3:$L$47,1,$F$3:$F$47,"X")</f>
        <v>0</v>
      </c>
      <c r="P8" s="252">
        <f>SUMIFS($G$3:$G$47,$L$3:$L$47,2,$F$3:$F$47,"X")</f>
        <v>0</v>
      </c>
      <c r="Q8" s="252">
        <f>SUMIFS($G$3:$G$47,$L$3:$L$47,3,$F$3:$F$47,"X")</f>
        <v>0</v>
      </c>
      <c r="R8" s="252">
        <f>SUMIFS($G$3:$G$47,$L$3:$L$47,4,$F$3:$F$47,"X")</f>
        <v>0</v>
      </c>
      <c r="S8" s="252">
        <f>SUMIFS($G$3:$G$47,$L$3:$L$47,5,$F$3:$F$47,"X")</f>
        <v>0</v>
      </c>
      <c r="T8" s="252">
        <f>SUMIFS($G$3:$G$47,$L$3:$L$47,6,$F$3:$F$47,"X")</f>
        <v>0</v>
      </c>
      <c r="U8" s="252">
        <f>SUMIFS($G$3:$G$47,$L$3:$L$47,7,$F$3:$F$47,"X")</f>
        <v>0</v>
      </c>
      <c r="V8" s="252">
        <f>SUMIFS($G$3:$G$47,$L$3:$L$47,8,$F$3:$F$47,"X")</f>
        <v>0</v>
      </c>
      <c r="W8" s="252">
        <f>SUMIFS($G$3:$G$47,$L$3:$L$47,9,$F$3:$F$47,"X")</f>
        <v>0</v>
      </c>
      <c r="X8" s="252">
        <f>SUMIFS($G$3:$G$47,$L$3:$L$47,10,$F$3:$F$47,"X")</f>
        <v>0</v>
      </c>
      <c r="Y8" s="252">
        <f>SUMIFS($G$3:$G$47,$L$3:$L$47,11,$F$3:$F$47,"X")</f>
        <v>0</v>
      </c>
      <c r="Z8" s="252">
        <f>SUMIFS($G$3:$G$47,$L$3:$L$47,12,$F$3:$F$47,"X")</f>
        <v>0</v>
      </c>
      <c r="AA8" s="255">
        <f t="shared" si="5"/>
        <v>0</v>
      </c>
      <c r="AB8" s="256" t="s">
        <v>192</v>
      </c>
    </row>
    <row r="9" spans="1:28" ht="13.35" customHeight="1">
      <c r="A9" s="50" t="s">
        <v>5</v>
      </c>
      <c r="B9" s="141"/>
      <c r="C9" s="80"/>
      <c r="D9" s="93"/>
      <c r="E9" s="226"/>
      <c r="F9" s="89"/>
      <c r="G9" s="81"/>
      <c r="H9" s="82"/>
      <c r="I9" s="83" t="str">
        <f t="shared" si="2"/>
        <v/>
      </c>
      <c r="J9" s="361" t="str">
        <f t="shared" si="3"/>
        <v/>
      </c>
      <c r="K9" s="200">
        <v>6</v>
      </c>
      <c r="L9" s="133">
        <f t="shared" si="4"/>
        <v>0</v>
      </c>
      <c r="M9" s="135" t="s">
        <v>5</v>
      </c>
      <c r="N9" s="191">
        <f>IF(OR(AND(AA14&lt;&gt;0,B48="x"),(O14+AA13)&lt;&gt;H48),1,0)</f>
        <v>0</v>
      </c>
      <c r="O9" s="257">
        <f>SUM(O5:O8)</f>
        <v>0</v>
      </c>
      <c r="P9" s="257">
        <f t="shared" ref="P9:Z9" si="6">SUM(P5:P8)</f>
        <v>0</v>
      </c>
      <c r="Q9" s="257">
        <f t="shared" si="6"/>
        <v>0</v>
      </c>
      <c r="R9" s="257">
        <f t="shared" si="6"/>
        <v>0</v>
      </c>
      <c r="S9" s="257">
        <f t="shared" si="6"/>
        <v>0</v>
      </c>
      <c r="T9" s="257">
        <f t="shared" si="6"/>
        <v>0</v>
      </c>
      <c r="U9" s="257">
        <f t="shared" si="6"/>
        <v>0</v>
      </c>
      <c r="V9" s="257">
        <f t="shared" si="6"/>
        <v>0</v>
      </c>
      <c r="W9" s="257">
        <f t="shared" si="6"/>
        <v>0</v>
      </c>
      <c r="X9" s="257">
        <f t="shared" si="6"/>
        <v>0</v>
      </c>
      <c r="Y9" s="257">
        <f t="shared" si="6"/>
        <v>0</v>
      </c>
      <c r="Z9" s="257">
        <f t="shared" si="6"/>
        <v>0</v>
      </c>
      <c r="AA9" s="1211" t="s">
        <v>197</v>
      </c>
      <c r="AB9" s="1212"/>
    </row>
    <row r="10" spans="1:28" ht="13.35" customHeight="1">
      <c r="A10" s="50" t="s">
        <v>5</v>
      </c>
      <c r="B10" s="141"/>
      <c r="C10" s="80"/>
      <c r="D10" s="93"/>
      <c r="E10" s="226"/>
      <c r="F10" s="89"/>
      <c r="G10" s="81"/>
      <c r="H10" s="82"/>
      <c r="I10" s="83" t="str">
        <f t="shared" si="2"/>
        <v/>
      </c>
      <c r="J10" s="361" t="str">
        <f t="shared" si="3"/>
        <v/>
      </c>
      <c r="K10" s="200">
        <v>7</v>
      </c>
      <c r="L10" s="133">
        <f t="shared" si="4"/>
        <v>0</v>
      </c>
      <c r="M10" s="135" t="s">
        <v>5</v>
      </c>
      <c r="N10" s="259">
        <f>IF(O10+AA10&lt;&gt;G48,1,0)</f>
        <v>0</v>
      </c>
      <c r="O10" s="1230">
        <f>SUM(O5:Z8)</f>
        <v>0</v>
      </c>
      <c r="P10" s="1231"/>
      <c r="Q10" s="1231"/>
      <c r="R10" s="1231"/>
      <c r="S10" s="1231"/>
      <c r="T10" s="1231"/>
      <c r="U10" s="1231"/>
      <c r="V10" s="1231"/>
      <c r="W10" s="1231"/>
      <c r="X10" s="1231"/>
      <c r="Y10" s="1231"/>
      <c r="Z10" s="1232"/>
      <c r="AA10" s="292">
        <f>+G48-AA7-AA6-AA5-AA8</f>
        <v>0</v>
      </c>
      <c r="AB10" s="293" t="s">
        <v>205</v>
      </c>
    </row>
    <row r="11" spans="1:28" ht="13.35" customHeight="1">
      <c r="A11" s="50" t="s">
        <v>5</v>
      </c>
      <c r="B11" s="141"/>
      <c r="C11" s="80"/>
      <c r="D11" s="93"/>
      <c r="E11" s="226"/>
      <c r="F11" s="89"/>
      <c r="G11" s="81"/>
      <c r="H11" s="82"/>
      <c r="I11" s="83" t="str">
        <f t="shared" si="2"/>
        <v/>
      </c>
      <c r="J11" s="361" t="str">
        <f t="shared" si="3"/>
        <v/>
      </c>
      <c r="K11" s="200">
        <v>8</v>
      </c>
      <c r="L11" s="133">
        <f t="shared" si="4"/>
        <v>0</v>
      </c>
      <c r="M11" s="135" t="s">
        <v>5</v>
      </c>
      <c r="O11" s="1219" t="str">
        <f>IF(N4&gt;0,"Fehler!","")</f>
        <v/>
      </c>
      <c r="P11" s="1219"/>
      <c r="Q11" s="1219"/>
      <c r="R11" s="1219"/>
      <c r="S11" s="1219"/>
      <c r="T11" s="1219"/>
      <c r="U11" s="1219"/>
      <c r="V11" s="1219"/>
      <c r="W11" s="1219"/>
      <c r="X11" s="1219"/>
      <c r="Y11" s="1219"/>
      <c r="Z11" s="1219"/>
    </row>
    <row r="12" spans="1:28" ht="13.35" customHeight="1">
      <c r="A12" s="50" t="s">
        <v>5</v>
      </c>
      <c r="B12" s="141"/>
      <c r="C12" s="80"/>
      <c r="D12" s="93"/>
      <c r="E12" s="226"/>
      <c r="F12" s="89"/>
      <c r="G12" s="81"/>
      <c r="H12" s="82"/>
      <c r="I12" s="83" t="str">
        <f t="shared" si="2"/>
        <v/>
      </c>
      <c r="J12" s="361" t="str">
        <f t="shared" si="3"/>
        <v/>
      </c>
      <c r="K12" s="200">
        <v>9</v>
      </c>
      <c r="L12" s="133">
        <f t="shared" si="4"/>
        <v>0</v>
      </c>
      <c r="M12" s="135" t="s">
        <v>5</v>
      </c>
      <c r="O12" s="203" t="s">
        <v>36</v>
      </c>
      <c r="P12" s="203" t="s">
        <v>37</v>
      </c>
      <c r="Q12" s="203" t="s">
        <v>38</v>
      </c>
      <c r="R12" s="203" t="s">
        <v>39</v>
      </c>
      <c r="S12" s="203" t="s">
        <v>40</v>
      </c>
      <c r="T12" s="203" t="s">
        <v>41</v>
      </c>
      <c r="U12" s="203" t="s">
        <v>42</v>
      </c>
      <c r="V12" s="203" t="s">
        <v>43</v>
      </c>
      <c r="W12" s="203" t="s">
        <v>44</v>
      </c>
      <c r="X12" s="203" t="s">
        <v>45</v>
      </c>
      <c r="Y12" s="203" t="s">
        <v>46</v>
      </c>
      <c r="Z12" s="203" t="s">
        <v>47</v>
      </c>
      <c r="AA12" s="221">
        <f>IF(O14+AA13&lt;&gt;H48,1,0)</f>
        <v>0</v>
      </c>
    </row>
    <row r="13" spans="1:28" ht="13.35" customHeight="1">
      <c r="A13" s="50" t="s">
        <v>5</v>
      </c>
      <c r="B13" s="141"/>
      <c r="C13" s="80"/>
      <c r="D13" s="93"/>
      <c r="E13" s="226"/>
      <c r="F13" s="89"/>
      <c r="G13" s="81"/>
      <c r="H13" s="82"/>
      <c r="I13" s="83" t="str">
        <f t="shared" si="2"/>
        <v/>
      </c>
      <c r="J13" s="361" t="str">
        <f t="shared" si="3"/>
        <v/>
      </c>
      <c r="K13" s="200">
        <v>10</v>
      </c>
      <c r="L13" s="133">
        <f t="shared" si="4"/>
        <v>0</v>
      </c>
      <c r="M13" s="135" t="s">
        <v>5</v>
      </c>
      <c r="O13" s="187">
        <f>SUMIF($L$3:$L$47,1,$I$3:$I$47)</f>
        <v>0</v>
      </c>
      <c r="P13" s="187">
        <f>SUMIF($L$3:$L$47,2,$I$3:$I$47)</f>
        <v>0</v>
      </c>
      <c r="Q13" s="187">
        <f>SUMIF($L$3:$L$47,3,$I$3:$I$47)</f>
        <v>0</v>
      </c>
      <c r="R13" s="187">
        <f>SUMIF($L$3:$L$47,4,$I$3:$I$47)</f>
        <v>0</v>
      </c>
      <c r="S13" s="187">
        <f>SUMIF($L$3:$L$47,5,$I$3:$I$47)</f>
        <v>0</v>
      </c>
      <c r="T13" s="187">
        <f>SUMIF($L$3:$L$47,6,$I$3:$I$47)</f>
        <v>0</v>
      </c>
      <c r="U13" s="187">
        <f>SUMIF($L$3:$L$47,7,$I$3:$I$47)</f>
        <v>0</v>
      </c>
      <c r="V13" s="187">
        <f>SUMIF($L$3:$L$47,8,$I$3:$I$47)</f>
        <v>0</v>
      </c>
      <c r="W13" s="187">
        <f>SUMIF($L$3:$L$47,9,$I$3:$I$47)</f>
        <v>0</v>
      </c>
      <c r="X13" s="187">
        <f>SUMIF($L$3:$L$47,10,$I$3:$I$47)</f>
        <v>0</v>
      </c>
      <c r="Y13" s="187">
        <f>SUMIF($L$3:$L$47,11,$I$3:$I$47)</f>
        <v>0</v>
      </c>
      <c r="Z13" s="187">
        <f>SUMIF($L$3:$L$47,12,$I$3:$I$47)</f>
        <v>0</v>
      </c>
      <c r="AA13" s="1220">
        <f>SUMIF($L$3:$L$47,0,$I$3:$I$47)</f>
        <v>0</v>
      </c>
      <c r="AB13" s="1221"/>
    </row>
    <row r="14" spans="1:28" ht="13.35" customHeight="1">
      <c r="A14" s="50" t="s">
        <v>5</v>
      </c>
      <c r="B14" s="141"/>
      <c r="C14" s="80"/>
      <c r="D14" s="93"/>
      <c r="E14" s="226"/>
      <c r="F14" s="89"/>
      <c r="G14" s="81"/>
      <c r="H14" s="82"/>
      <c r="I14" s="83" t="str">
        <f t="shared" si="2"/>
        <v/>
      </c>
      <c r="J14" s="361" t="str">
        <f t="shared" si="3"/>
        <v/>
      </c>
      <c r="K14" s="200">
        <v>11</v>
      </c>
      <c r="L14" s="133">
        <f t="shared" si="4"/>
        <v>0</v>
      </c>
      <c r="M14" s="135" t="s">
        <v>5</v>
      </c>
      <c r="O14" s="1299">
        <f>SUM(O13:Z13)</f>
        <v>0</v>
      </c>
      <c r="P14" s="1300"/>
      <c r="Q14" s="1300"/>
      <c r="R14" s="1300"/>
      <c r="S14" s="1300"/>
      <c r="T14" s="1300"/>
      <c r="U14" s="1300"/>
      <c r="V14" s="1300"/>
      <c r="W14" s="1300"/>
      <c r="X14" s="1300"/>
      <c r="Y14" s="1300"/>
      <c r="Z14" s="1301"/>
      <c r="AA14" s="1222">
        <f>SUM(O13:Z13)+AA13</f>
        <v>0</v>
      </c>
      <c r="AB14" s="1223"/>
    </row>
    <row r="15" spans="1:28" ht="13.35" customHeight="1">
      <c r="A15" s="50" t="s">
        <v>5</v>
      </c>
      <c r="B15" s="141"/>
      <c r="C15" s="260"/>
      <c r="D15" s="93"/>
      <c r="E15" s="226"/>
      <c r="F15" s="89"/>
      <c r="G15" s="81"/>
      <c r="H15" s="82"/>
      <c r="I15" s="83" t="str">
        <f t="shared" si="2"/>
        <v/>
      </c>
      <c r="J15" s="361" t="str">
        <f t="shared" si="3"/>
        <v/>
      </c>
      <c r="K15" s="200">
        <v>12</v>
      </c>
      <c r="L15" s="133">
        <f t="shared" si="4"/>
        <v>0</v>
      </c>
      <c r="M15" s="135" t="s">
        <v>5</v>
      </c>
      <c r="O15" s="244"/>
      <c r="P15" s="244"/>
      <c r="Q15" s="244"/>
      <c r="R15" s="244"/>
      <c r="S15" s="244"/>
      <c r="T15" s="244"/>
      <c r="U15" s="244"/>
      <c r="V15" s="244"/>
      <c r="W15" s="244"/>
      <c r="X15" s="244"/>
      <c r="Y15" s="244"/>
      <c r="Z15" s="244"/>
      <c r="AA15" s="244"/>
      <c r="AB15" s="244"/>
    </row>
    <row r="16" spans="1:28" ht="13.35" customHeight="1">
      <c r="A16" s="50" t="s">
        <v>5</v>
      </c>
      <c r="B16" s="141"/>
      <c r="C16" s="80"/>
      <c r="D16" s="93"/>
      <c r="E16" s="226"/>
      <c r="F16" s="89"/>
      <c r="G16" s="81"/>
      <c r="H16" s="82"/>
      <c r="I16" s="83" t="str">
        <f t="shared" si="2"/>
        <v/>
      </c>
      <c r="J16" s="361" t="str">
        <f t="shared" si="3"/>
        <v/>
      </c>
      <c r="K16" s="200">
        <v>13</v>
      </c>
      <c r="L16" s="133">
        <f t="shared" si="4"/>
        <v>0</v>
      </c>
      <c r="M16" s="135" t="s">
        <v>5</v>
      </c>
      <c r="O16" s="244"/>
      <c r="P16" s="244"/>
      <c r="Q16" s="244"/>
      <c r="R16" s="244"/>
      <c r="S16" s="244"/>
      <c r="T16" s="244"/>
      <c r="U16" s="244"/>
      <c r="V16" s="244"/>
      <c r="W16" s="244"/>
      <c r="X16" s="244"/>
      <c r="Y16" s="244"/>
      <c r="Z16" s="244"/>
      <c r="AA16" s="244"/>
      <c r="AB16" s="244"/>
    </row>
    <row r="17" spans="1:28" ht="13.35" customHeight="1">
      <c r="A17" s="50" t="s">
        <v>5</v>
      </c>
      <c r="B17" s="141"/>
      <c r="C17" s="80"/>
      <c r="D17" s="93"/>
      <c r="E17" s="226"/>
      <c r="F17" s="89"/>
      <c r="G17" s="81"/>
      <c r="H17" s="82"/>
      <c r="I17" s="83" t="str">
        <f t="shared" si="2"/>
        <v/>
      </c>
      <c r="J17" s="361" t="str">
        <f t="shared" si="3"/>
        <v/>
      </c>
      <c r="K17" s="200">
        <v>14</v>
      </c>
      <c r="L17" s="133">
        <f t="shared" si="4"/>
        <v>0</v>
      </c>
      <c r="M17" s="135" t="s">
        <v>5</v>
      </c>
      <c r="O17" s="244"/>
      <c r="P17" s="244"/>
      <c r="Q17" s="244"/>
      <c r="R17" s="244"/>
      <c r="S17" s="244"/>
      <c r="T17" s="244"/>
      <c r="U17" s="244"/>
      <c r="V17" s="244"/>
      <c r="W17" s="244"/>
      <c r="X17" s="244"/>
      <c r="Y17" s="244"/>
      <c r="Z17" s="244"/>
      <c r="AA17" s="244"/>
      <c r="AB17" s="244"/>
    </row>
    <row r="18" spans="1:28" ht="13.35" customHeight="1">
      <c r="A18" s="50" t="s">
        <v>5</v>
      </c>
      <c r="B18" s="141"/>
      <c r="C18" s="80"/>
      <c r="D18" s="93"/>
      <c r="E18" s="226"/>
      <c r="F18" s="89"/>
      <c r="G18" s="81"/>
      <c r="H18" s="82"/>
      <c r="I18" s="83" t="str">
        <f t="shared" si="2"/>
        <v/>
      </c>
      <c r="J18" s="361" t="str">
        <f t="shared" si="3"/>
        <v/>
      </c>
      <c r="K18" s="200">
        <v>15</v>
      </c>
      <c r="L18" s="133">
        <f t="shared" si="4"/>
        <v>0</v>
      </c>
      <c r="M18" s="135" t="s">
        <v>5</v>
      </c>
      <c r="O18" s="244"/>
      <c r="P18" s="244"/>
      <c r="Q18" s="244"/>
      <c r="R18" s="244"/>
      <c r="S18" s="244"/>
      <c r="T18" s="244"/>
      <c r="U18" s="244"/>
      <c r="V18" s="244"/>
      <c r="W18" s="244"/>
      <c r="X18" s="244"/>
      <c r="Y18" s="244"/>
      <c r="Z18" s="244"/>
      <c r="AA18" s="244"/>
      <c r="AB18" s="244"/>
    </row>
    <row r="19" spans="1:28" ht="13.35" customHeight="1">
      <c r="A19" s="50" t="s">
        <v>5</v>
      </c>
      <c r="B19" s="141"/>
      <c r="C19" s="80"/>
      <c r="D19" s="93"/>
      <c r="E19" s="226"/>
      <c r="F19" s="89"/>
      <c r="G19" s="81"/>
      <c r="H19" s="82"/>
      <c r="I19" s="83" t="str">
        <f t="shared" si="2"/>
        <v/>
      </c>
      <c r="J19" s="361" t="str">
        <f t="shared" si="3"/>
        <v/>
      </c>
      <c r="K19" s="200">
        <v>16</v>
      </c>
      <c r="L19" s="133">
        <f t="shared" si="4"/>
        <v>0</v>
      </c>
      <c r="M19" s="135" t="s">
        <v>5</v>
      </c>
      <c r="O19" s="244"/>
      <c r="P19" s="244"/>
      <c r="Q19" s="244"/>
      <c r="R19" s="244"/>
      <c r="S19" s="244"/>
      <c r="T19" s="244"/>
      <c r="U19" s="244"/>
      <c r="V19" s="244"/>
      <c r="W19" s="244"/>
      <c r="X19" s="244"/>
      <c r="Y19" s="244"/>
      <c r="Z19" s="244"/>
      <c r="AA19" s="244"/>
      <c r="AB19" s="244"/>
    </row>
    <row r="20" spans="1:28" ht="13.35" customHeight="1">
      <c r="A20" s="50" t="s">
        <v>5</v>
      </c>
      <c r="B20" s="141"/>
      <c r="C20" s="80"/>
      <c r="D20" s="93"/>
      <c r="E20" s="226"/>
      <c r="F20" s="89"/>
      <c r="G20" s="81"/>
      <c r="H20" s="82"/>
      <c r="I20" s="83" t="str">
        <f t="shared" si="2"/>
        <v/>
      </c>
      <c r="J20" s="361" t="str">
        <f t="shared" si="3"/>
        <v/>
      </c>
      <c r="K20" s="200">
        <v>17</v>
      </c>
      <c r="L20" s="133">
        <f t="shared" si="4"/>
        <v>0</v>
      </c>
      <c r="M20" s="135" t="s">
        <v>5</v>
      </c>
      <c r="O20" s="244"/>
      <c r="P20" s="244"/>
      <c r="Q20" s="244"/>
      <c r="R20" s="244"/>
      <c r="S20" s="244"/>
      <c r="T20" s="244"/>
      <c r="U20" s="244"/>
      <c r="V20" s="244"/>
      <c r="W20" s="244"/>
      <c r="X20" s="244"/>
      <c r="Y20" s="244"/>
      <c r="Z20" s="244"/>
      <c r="AA20" s="244"/>
      <c r="AB20" s="244"/>
    </row>
    <row r="21" spans="1:28" ht="13.35" customHeight="1">
      <c r="A21" s="50" t="s">
        <v>5</v>
      </c>
      <c r="B21" s="141"/>
      <c r="C21" s="80"/>
      <c r="D21" s="93"/>
      <c r="E21" s="226"/>
      <c r="F21" s="89"/>
      <c r="G21" s="81"/>
      <c r="H21" s="82"/>
      <c r="I21" s="83" t="str">
        <f t="shared" si="2"/>
        <v/>
      </c>
      <c r="J21" s="361" t="str">
        <f t="shared" si="3"/>
        <v/>
      </c>
      <c r="K21" s="200">
        <v>18</v>
      </c>
      <c r="L21" s="133">
        <f t="shared" si="4"/>
        <v>0</v>
      </c>
      <c r="M21" s="135" t="s">
        <v>5</v>
      </c>
      <c r="O21" s="244"/>
      <c r="P21" s="244"/>
      <c r="Q21" s="244"/>
      <c r="R21" s="244"/>
      <c r="S21" s="244"/>
      <c r="T21" s="244"/>
      <c r="U21" s="244"/>
      <c r="V21" s="244"/>
      <c r="W21" s="244"/>
      <c r="X21" s="244"/>
      <c r="Y21" s="244"/>
      <c r="Z21" s="244"/>
      <c r="AA21" s="244"/>
      <c r="AB21" s="244"/>
    </row>
    <row r="22" spans="1:28" ht="13.35" customHeight="1">
      <c r="A22" s="50" t="s">
        <v>5</v>
      </c>
      <c r="B22" s="141"/>
      <c r="C22" s="80"/>
      <c r="D22" s="93"/>
      <c r="E22" s="226"/>
      <c r="F22" s="89"/>
      <c r="G22" s="81"/>
      <c r="H22" s="82"/>
      <c r="I22" s="83" t="str">
        <f t="shared" si="2"/>
        <v/>
      </c>
      <c r="J22" s="361" t="str">
        <f t="shared" si="3"/>
        <v/>
      </c>
      <c r="K22" s="200">
        <v>19</v>
      </c>
      <c r="L22" s="133">
        <f t="shared" si="4"/>
        <v>0</v>
      </c>
      <c r="M22" s="135" t="s">
        <v>5</v>
      </c>
      <c r="O22" s="244"/>
      <c r="P22" s="244"/>
      <c r="Q22" s="244"/>
      <c r="R22" s="244"/>
      <c r="S22" s="244"/>
      <c r="T22" s="244"/>
      <c r="U22" s="244"/>
      <c r="V22" s="244"/>
      <c r="W22" s="244"/>
      <c r="X22" s="244"/>
      <c r="Y22" s="244"/>
      <c r="Z22" s="244"/>
      <c r="AA22" s="244"/>
      <c r="AB22" s="244"/>
    </row>
    <row r="23" spans="1:28" ht="13.35" customHeight="1">
      <c r="A23" s="50" t="s">
        <v>5</v>
      </c>
      <c r="B23" s="141"/>
      <c r="C23" s="80"/>
      <c r="D23" s="94"/>
      <c r="E23" s="226"/>
      <c r="F23" s="89"/>
      <c r="G23" s="81"/>
      <c r="H23" s="82"/>
      <c r="I23" s="83" t="str">
        <f t="shared" si="2"/>
        <v/>
      </c>
      <c r="J23" s="361" t="str">
        <f t="shared" si="3"/>
        <v/>
      </c>
      <c r="K23" s="200">
        <v>20</v>
      </c>
      <c r="L23" s="133">
        <f t="shared" si="4"/>
        <v>0</v>
      </c>
      <c r="M23" s="135" t="s">
        <v>5</v>
      </c>
      <c r="O23" s="244"/>
      <c r="P23" s="244"/>
      <c r="Q23" s="244"/>
      <c r="R23" s="244"/>
      <c r="S23" s="244"/>
      <c r="T23" s="244"/>
      <c r="U23" s="244"/>
      <c r="V23" s="244"/>
      <c r="W23" s="244"/>
      <c r="X23" s="244"/>
      <c r="Y23" s="244"/>
      <c r="Z23" s="244"/>
      <c r="AA23" s="244"/>
      <c r="AB23" s="244"/>
    </row>
    <row r="24" spans="1:28" ht="13.35" customHeight="1">
      <c r="A24" s="50" t="s">
        <v>5</v>
      </c>
      <c r="B24" s="141"/>
      <c r="C24" s="80"/>
      <c r="D24" s="93"/>
      <c r="E24" s="226"/>
      <c r="F24" s="89"/>
      <c r="G24" s="81"/>
      <c r="H24" s="82"/>
      <c r="I24" s="83" t="str">
        <f t="shared" si="2"/>
        <v/>
      </c>
      <c r="J24" s="361" t="str">
        <f t="shared" si="3"/>
        <v/>
      </c>
      <c r="K24" s="200">
        <v>21</v>
      </c>
      <c r="L24" s="133">
        <f t="shared" si="4"/>
        <v>0</v>
      </c>
      <c r="M24" s="135" t="s">
        <v>5</v>
      </c>
      <c r="O24" s="244"/>
      <c r="P24" s="244"/>
      <c r="Q24" s="244"/>
      <c r="R24" s="244"/>
      <c r="S24" s="244"/>
      <c r="T24" s="244"/>
      <c r="U24" s="244"/>
      <c r="V24" s="244"/>
      <c r="W24" s="244"/>
      <c r="X24" s="244"/>
      <c r="Y24" s="244"/>
      <c r="Z24" s="244"/>
      <c r="AA24" s="244"/>
      <c r="AB24" s="244"/>
    </row>
    <row r="25" spans="1:28" ht="13.35" customHeight="1">
      <c r="A25" s="50" t="s">
        <v>5</v>
      </c>
      <c r="B25" s="141"/>
      <c r="C25" s="80"/>
      <c r="D25" s="93"/>
      <c r="E25" s="226"/>
      <c r="F25" s="89"/>
      <c r="G25" s="81"/>
      <c r="H25" s="82"/>
      <c r="I25" s="83" t="str">
        <f t="shared" si="2"/>
        <v/>
      </c>
      <c r="J25" s="361" t="str">
        <f t="shared" si="3"/>
        <v/>
      </c>
      <c r="K25" s="200">
        <v>22</v>
      </c>
      <c r="L25" s="133">
        <f t="shared" si="4"/>
        <v>0</v>
      </c>
      <c r="M25" s="135" t="s">
        <v>5</v>
      </c>
      <c r="O25" s="244"/>
      <c r="P25" s="244"/>
      <c r="Q25" s="244"/>
      <c r="R25" s="244"/>
      <c r="S25" s="244"/>
      <c r="T25" s="244"/>
      <c r="U25" s="244"/>
      <c r="V25" s="244"/>
      <c r="W25" s="244"/>
      <c r="X25" s="244"/>
      <c r="Y25" s="244"/>
      <c r="Z25" s="244"/>
      <c r="AA25" s="244"/>
      <c r="AB25" s="244"/>
    </row>
    <row r="26" spans="1:28" ht="13.35" customHeight="1">
      <c r="A26" s="50" t="s">
        <v>5</v>
      </c>
      <c r="B26" s="141"/>
      <c r="C26" s="80"/>
      <c r="D26" s="93"/>
      <c r="E26" s="226"/>
      <c r="F26" s="89"/>
      <c r="G26" s="81"/>
      <c r="H26" s="82"/>
      <c r="I26" s="83" t="str">
        <f t="shared" si="2"/>
        <v/>
      </c>
      <c r="J26" s="361" t="str">
        <f t="shared" si="3"/>
        <v/>
      </c>
      <c r="K26" s="200">
        <v>23</v>
      </c>
      <c r="L26" s="133">
        <f t="shared" si="4"/>
        <v>0</v>
      </c>
      <c r="M26" s="135" t="s">
        <v>5</v>
      </c>
      <c r="O26" s="244"/>
      <c r="P26" s="244"/>
      <c r="Q26" s="244"/>
      <c r="R26" s="244"/>
      <c r="S26" s="244"/>
      <c r="T26" s="244"/>
      <c r="U26" s="244"/>
      <c r="V26" s="244"/>
      <c r="W26" s="244"/>
      <c r="X26" s="244"/>
      <c r="Y26" s="244"/>
      <c r="Z26" s="244"/>
      <c r="AA26" s="244"/>
      <c r="AB26" s="244"/>
    </row>
    <row r="27" spans="1:28" ht="13.35" customHeight="1">
      <c r="A27" s="50" t="s">
        <v>5</v>
      </c>
      <c r="B27" s="141"/>
      <c r="C27" s="80"/>
      <c r="D27" s="93"/>
      <c r="E27" s="226"/>
      <c r="F27" s="89"/>
      <c r="G27" s="81"/>
      <c r="H27" s="82"/>
      <c r="I27" s="83" t="str">
        <f t="shared" si="2"/>
        <v/>
      </c>
      <c r="J27" s="361" t="str">
        <f t="shared" si="3"/>
        <v/>
      </c>
      <c r="K27" s="200">
        <v>24</v>
      </c>
      <c r="L27" s="133">
        <f t="shared" si="4"/>
        <v>0</v>
      </c>
      <c r="M27" s="135" t="s">
        <v>5</v>
      </c>
      <c r="O27" s="244"/>
      <c r="P27" s="244"/>
      <c r="Q27" s="244"/>
      <c r="R27" s="244"/>
      <c r="S27" s="244"/>
      <c r="T27" s="244"/>
      <c r="U27" s="244"/>
      <c r="V27" s="244"/>
      <c r="W27" s="244"/>
      <c r="X27" s="244"/>
      <c r="Y27" s="244"/>
      <c r="Z27" s="244"/>
      <c r="AA27" s="244"/>
      <c r="AB27" s="244"/>
    </row>
    <row r="28" spans="1:28" ht="13.35" customHeight="1">
      <c r="A28" s="50" t="s">
        <v>5</v>
      </c>
      <c r="B28" s="141"/>
      <c r="C28" s="80"/>
      <c r="D28" s="93"/>
      <c r="E28" s="226"/>
      <c r="F28" s="89"/>
      <c r="G28" s="81"/>
      <c r="H28" s="82"/>
      <c r="I28" s="83" t="str">
        <f t="shared" si="2"/>
        <v/>
      </c>
      <c r="J28" s="361" t="str">
        <f t="shared" si="3"/>
        <v/>
      </c>
      <c r="K28" s="200">
        <v>25</v>
      </c>
      <c r="L28" s="133">
        <f t="shared" si="4"/>
        <v>0</v>
      </c>
      <c r="M28" s="135" t="s">
        <v>5</v>
      </c>
      <c r="O28" s="244"/>
      <c r="P28" s="244"/>
      <c r="Q28" s="244"/>
      <c r="R28" s="244"/>
      <c r="S28" s="244"/>
      <c r="T28" s="244"/>
      <c r="U28" s="244"/>
      <c r="V28" s="244"/>
      <c r="W28" s="244"/>
      <c r="X28" s="244"/>
      <c r="Y28" s="244"/>
      <c r="Z28" s="244"/>
      <c r="AA28" s="244"/>
      <c r="AB28" s="244"/>
    </row>
    <row r="29" spans="1:28" ht="13.35" customHeight="1">
      <c r="A29" s="50" t="s">
        <v>5</v>
      </c>
      <c r="B29" s="141"/>
      <c r="C29" s="80"/>
      <c r="D29" s="93"/>
      <c r="E29" s="226"/>
      <c r="F29" s="89"/>
      <c r="G29" s="81"/>
      <c r="H29" s="82"/>
      <c r="I29" s="83" t="str">
        <f t="shared" si="2"/>
        <v/>
      </c>
      <c r="J29" s="361" t="str">
        <f t="shared" si="3"/>
        <v/>
      </c>
      <c r="K29" s="200">
        <v>26</v>
      </c>
      <c r="L29" s="133">
        <f t="shared" si="4"/>
        <v>0</v>
      </c>
      <c r="M29" s="135" t="s">
        <v>5</v>
      </c>
      <c r="O29" s="244"/>
      <c r="P29" s="244"/>
      <c r="Q29" s="244"/>
      <c r="R29" s="244"/>
      <c r="S29" s="244"/>
      <c r="T29" s="244"/>
      <c r="U29" s="244"/>
      <c r="V29" s="244"/>
      <c r="W29" s="244"/>
      <c r="X29" s="244"/>
      <c r="Y29" s="244"/>
      <c r="Z29" s="244"/>
      <c r="AA29" s="244"/>
      <c r="AB29" s="244"/>
    </row>
    <row r="30" spans="1:28" ht="13.35" customHeight="1">
      <c r="A30" s="50" t="s">
        <v>5</v>
      </c>
      <c r="B30" s="141"/>
      <c r="C30" s="80"/>
      <c r="D30" s="93"/>
      <c r="E30" s="226"/>
      <c r="F30" s="89"/>
      <c r="G30" s="81"/>
      <c r="H30" s="82"/>
      <c r="I30" s="83" t="str">
        <f t="shared" si="2"/>
        <v/>
      </c>
      <c r="J30" s="361" t="str">
        <f t="shared" si="3"/>
        <v/>
      </c>
      <c r="K30" s="200">
        <v>27</v>
      </c>
      <c r="L30" s="133">
        <f t="shared" si="4"/>
        <v>0</v>
      </c>
      <c r="M30" s="135" t="s">
        <v>5</v>
      </c>
      <c r="O30" s="244"/>
      <c r="P30" s="244"/>
      <c r="Q30" s="244"/>
      <c r="R30" s="244"/>
      <c r="S30" s="244"/>
      <c r="T30" s="244"/>
      <c r="U30" s="244"/>
      <c r="V30" s="244"/>
      <c r="W30" s="244"/>
      <c r="X30" s="244"/>
      <c r="Y30" s="244"/>
      <c r="Z30" s="244"/>
      <c r="AA30" s="244"/>
      <c r="AB30" s="244"/>
    </row>
    <row r="31" spans="1:28" ht="13.35" customHeight="1">
      <c r="A31" s="50" t="s">
        <v>5</v>
      </c>
      <c r="B31" s="141"/>
      <c r="C31" s="80"/>
      <c r="D31" s="93"/>
      <c r="E31" s="226"/>
      <c r="F31" s="89"/>
      <c r="G31" s="81"/>
      <c r="H31" s="82"/>
      <c r="I31" s="83" t="str">
        <f t="shared" si="2"/>
        <v/>
      </c>
      <c r="J31" s="361" t="str">
        <f t="shared" si="3"/>
        <v/>
      </c>
      <c r="K31" s="200">
        <v>28</v>
      </c>
      <c r="L31" s="133">
        <f t="shared" si="4"/>
        <v>0</v>
      </c>
      <c r="M31" s="135" t="s">
        <v>5</v>
      </c>
      <c r="O31" s="244"/>
      <c r="P31" s="244"/>
      <c r="Q31" s="244"/>
      <c r="R31" s="244"/>
      <c r="S31" s="244"/>
      <c r="T31" s="244"/>
      <c r="U31" s="244"/>
      <c r="V31" s="244"/>
      <c r="W31" s="244"/>
      <c r="X31" s="244"/>
      <c r="Y31" s="244"/>
      <c r="Z31" s="244"/>
      <c r="AA31" s="244"/>
      <c r="AB31" s="244"/>
    </row>
    <row r="32" spans="1:28" ht="13.35" customHeight="1">
      <c r="A32" s="50" t="s">
        <v>5</v>
      </c>
      <c r="B32" s="141"/>
      <c r="C32" s="80"/>
      <c r="D32" s="93"/>
      <c r="E32" s="226"/>
      <c r="F32" s="89"/>
      <c r="G32" s="81"/>
      <c r="H32" s="82"/>
      <c r="I32" s="83" t="str">
        <f t="shared" si="2"/>
        <v/>
      </c>
      <c r="J32" s="361" t="str">
        <f t="shared" si="3"/>
        <v/>
      </c>
      <c r="K32" s="200">
        <v>29</v>
      </c>
      <c r="L32" s="133">
        <f t="shared" si="4"/>
        <v>0</v>
      </c>
      <c r="M32" s="135" t="s">
        <v>5</v>
      </c>
      <c r="O32" s="244"/>
      <c r="P32" s="244"/>
      <c r="Q32" s="244"/>
      <c r="R32" s="244"/>
      <c r="S32" s="244"/>
      <c r="T32" s="244"/>
      <c r="U32" s="244"/>
      <c r="V32" s="244"/>
      <c r="W32" s="244"/>
      <c r="X32" s="244"/>
      <c r="Y32" s="244"/>
      <c r="Z32" s="244"/>
      <c r="AA32" s="244"/>
      <c r="AB32" s="244"/>
    </row>
    <row r="33" spans="1:28" ht="13.35" customHeight="1">
      <c r="A33" s="50" t="s">
        <v>5</v>
      </c>
      <c r="B33" s="141"/>
      <c r="C33" s="80"/>
      <c r="D33" s="93"/>
      <c r="E33" s="226"/>
      <c r="F33" s="89"/>
      <c r="G33" s="81"/>
      <c r="H33" s="82"/>
      <c r="I33" s="83" t="str">
        <f t="shared" si="2"/>
        <v/>
      </c>
      <c r="J33" s="361" t="str">
        <f t="shared" si="3"/>
        <v/>
      </c>
      <c r="K33" s="200">
        <v>30</v>
      </c>
      <c r="L33" s="133">
        <f t="shared" si="4"/>
        <v>0</v>
      </c>
      <c r="M33" s="135" t="s">
        <v>5</v>
      </c>
      <c r="O33" s="244"/>
      <c r="P33" s="244"/>
      <c r="Q33" s="244"/>
      <c r="R33" s="244"/>
      <c r="S33" s="244"/>
      <c r="T33" s="244"/>
      <c r="U33" s="244"/>
      <c r="V33" s="244"/>
      <c r="W33" s="244"/>
      <c r="X33" s="244"/>
      <c r="Y33" s="244"/>
      <c r="Z33" s="244"/>
      <c r="AA33" s="244"/>
      <c r="AB33" s="244"/>
    </row>
    <row r="34" spans="1:28" ht="13.35" customHeight="1">
      <c r="A34" s="50" t="s">
        <v>5</v>
      </c>
      <c r="B34" s="141"/>
      <c r="C34" s="80"/>
      <c r="D34" s="93"/>
      <c r="E34" s="226"/>
      <c r="F34" s="89"/>
      <c r="G34" s="81"/>
      <c r="H34" s="82"/>
      <c r="I34" s="83" t="str">
        <f t="shared" si="2"/>
        <v/>
      </c>
      <c r="J34" s="361" t="str">
        <f t="shared" si="3"/>
        <v/>
      </c>
      <c r="K34" s="200">
        <v>31</v>
      </c>
      <c r="L34" s="133">
        <f t="shared" si="4"/>
        <v>0</v>
      </c>
      <c r="M34" s="135" t="s">
        <v>5</v>
      </c>
      <c r="O34" s="244"/>
      <c r="P34" s="244"/>
      <c r="Q34" s="244"/>
      <c r="R34" s="244"/>
      <c r="S34" s="244"/>
      <c r="T34" s="244"/>
      <c r="U34" s="244"/>
      <c r="V34" s="244"/>
      <c r="W34" s="244"/>
      <c r="X34" s="244"/>
      <c r="Y34" s="244"/>
      <c r="Z34" s="244"/>
      <c r="AA34" s="244"/>
      <c r="AB34" s="244"/>
    </row>
    <row r="35" spans="1:28" ht="13.35" customHeight="1">
      <c r="A35" s="50" t="s">
        <v>5</v>
      </c>
      <c r="B35" s="141"/>
      <c r="C35" s="80"/>
      <c r="D35" s="93"/>
      <c r="E35" s="226"/>
      <c r="F35" s="89"/>
      <c r="G35" s="81"/>
      <c r="H35" s="82"/>
      <c r="I35" s="83" t="str">
        <f t="shared" si="2"/>
        <v/>
      </c>
      <c r="J35" s="361" t="str">
        <f t="shared" si="3"/>
        <v/>
      </c>
      <c r="K35" s="200">
        <v>32</v>
      </c>
      <c r="L35" s="133">
        <f t="shared" si="4"/>
        <v>0</v>
      </c>
      <c r="M35" s="135" t="s">
        <v>5</v>
      </c>
      <c r="O35" s="244"/>
      <c r="P35" s="244"/>
      <c r="Q35" s="244"/>
      <c r="R35" s="244"/>
      <c r="S35" s="244"/>
      <c r="T35" s="244"/>
      <c r="U35" s="244"/>
      <c r="V35" s="244"/>
      <c r="W35" s="244"/>
      <c r="X35" s="244"/>
      <c r="Y35" s="244"/>
      <c r="Z35" s="244"/>
      <c r="AA35" s="244"/>
      <c r="AB35" s="244"/>
    </row>
    <row r="36" spans="1:28" ht="13.35" customHeight="1">
      <c r="A36" s="50" t="s">
        <v>5</v>
      </c>
      <c r="B36" s="141"/>
      <c r="C36" s="80"/>
      <c r="D36" s="93"/>
      <c r="E36" s="226"/>
      <c r="F36" s="89"/>
      <c r="G36" s="81"/>
      <c r="H36" s="82"/>
      <c r="I36" s="83" t="str">
        <f t="shared" si="2"/>
        <v/>
      </c>
      <c r="J36" s="361" t="str">
        <f t="shared" si="3"/>
        <v/>
      </c>
      <c r="K36" s="200">
        <v>33</v>
      </c>
      <c r="L36" s="133">
        <f t="shared" si="4"/>
        <v>0</v>
      </c>
      <c r="M36" s="135" t="s">
        <v>5</v>
      </c>
      <c r="O36" s="244"/>
      <c r="P36" s="244"/>
      <c r="Q36" s="244"/>
      <c r="R36" s="244"/>
      <c r="S36" s="244"/>
      <c r="T36" s="244"/>
      <c r="U36" s="244"/>
      <c r="V36" s="244"/>
      <c r="W36" s="244"/>
      <c r="X36" s="244"/>
      <c r="Y36" s="244"/>
      <c r="Z36" s="244"/>
      <c r="AA36" s="244"/>
      <c r="AB36" s="244"/>
    </row>
    <row r="37" spans="1:28" ht="13.35" customHeight="1">
      <c r="A37" s="50" t="s">
        <v>5</v>
      </c>
      <c r="B37" s="141"/>
      <c r="C37" s="80"/>
      <c r="D37" s="93"/>
      <c r="E37" s="226"/>
      <c r="F37" s="89"/>
      <c r="G37" s="81"/>
      <c r="H37" s="82"/>
      <c r="I37" s="83" t="str">
        <f t="shared" si="2"/>
        <v/>
      </c>
      <c r="J37" s="361" t="str">
        <f t="shared" si="3"/>
        <v/>
      </c>
      <c r="K37" s="200">
        <v>34</v>
      </c>
      <c r="L37" s="133">
        <f t="shared" si="4"/>
        <v>0</v>
      </c>
      <c r="M37" s="135" t="s">
        <v>5</v>
      </c>
      <c r="O37" s="244"/>
      <c r="P37" s="244"/>
      <c r="Q37" s="244"/>
      <c r="R37" s="244"/>
      <c r="S37" s="244"/>
      <c r="T37" s="244"/>
      <c r="U37" s="244"/>
      <c r="V37" s="244"/>
      <c r="W37" s="244"/>
      <c r="X37" s="244"/>
      <c r="Y37" s="244"/>
      <c r="Z37" s="244"/>
      <c r="AA37" s="244"/>
      <c r="AB37" s="244"/>
    </row>
    <row r="38" spans="1:28" ht="13.35" customHeight="1">
      <c r="A38" s="50" t="s">
        <v>5</v>
      </c>
      <c r="B38" s="141"/>
      <c r="C38" s="80"/>
      <c r="D38" s="93"/>
      <c r="E38" s="226"/>
      <c r="F38" s="89"/>
      <c r="G38" s="81"/>
      <c r="H38" s="82"/>
      <c r="I38" s="83" t="str">
        <f t="shared" si="2"/>
        <v/>
      </c>
      <c r="J38" s="361" t="str">
        <f t="shared" si="3"/>
        <v/>
      </c>
      <c r="K38" s="200">
        <v>35</v>
      </c>
      <c r="L38" s="133">
        <f t="shared" si="4"/>
        <v>0</v>
      </c>
      <c r="M38" s="135" t="s">
        <v>5</v>
      </c>
      <c r="O38" s="244"/>
      <c r="P38" s="244"/>
      <c r="Q38" s="244"/>
      <c r="R38" s="244"/>
      <c r="S38" s="244"/>
      <c r="T38" s="244"/>
      <c r="U38" s="244"/>
      <c r="V38" s="244"/>
      <c r="W38" s="244"/>
      <c r="X38" s="244"/>
      <c r="Y38" s="244"/>
      <c r="Z38" s="244"/>
      <c r="AA38" s="244"/>
      <c r="AB38" s="244"/>
    </row>
    <row r="39" spans="1:28" ht="13.35" customHeight="1">
      <c r="A39" s="50" t="s">
        <v>5</v>
      </c>
      <c r="B39" s="141"/>
      <c r="C39" s="80"/>
      <c r="D39" s="93"/>
      <c r="E39" s="226"/>
      <c r="F39" s="89"/>
      <c r="G39" s="81"/>
      <c r="H39" s="82"/>
      <c r="I39" s="83" t="str">
        <f t="shared" si="2"/>
        <v/>
      </c>
      <c r="J39" s="361" t="str">
        <f t="shared" si="3"/>
        <v/>
      </c>
      <c r="K39" s="200">
        <v>36</v>
      </c>
      <c r="L39" s="133">
        <f t="shared" si="4"/>
        <v>0</v>
      </c>
      <c r="M39" s="135" t="s">
        <v>5</v>
      </c>
      <c r="O39" s="244"/>
      <c r="P39" s="244"/>
      <c r="Q39" s="244"/>
      <c r="R39" s="244"/>
      <c r="S39" s="244"/>
      <c r="T39" s="244"/>
      <c r="U39" s="244"/>
      <c r="V39" s="244"/>
      <c r="W39" s="244"/>
      <c r="X39" s="244"/>
      <c r="Y39" s="244"/>
      <c r="Z39" s="244"/>
      <c r="AA39" s="244"/>
      <c r="AB39" s="244"/>
    </row>
    <row r="40" spans="1:28" ht="13.35" customHeight="1">
      <c r="A40" s="50" t="s">
        <v>5</v>
      </c>
      <c r="B40" s="141"/>
      <c r="C40" s="80"/>
      <c r="D40" s="93"/>
      <c r="E40" s="226"/>
      <c r="F40" s="89"/>
      <c r="G40" s="81"/>
      <c r="H40" s="82"/>
      <c r="I40" s="83" t="str">
        <f t="shared" si="2"/>
        <v/>
      </c>
      <c r="J40" s="361" t="str">
        <f t="shared" si="3"/>
        <v/>
      </c>
      <c r="K40" s="200">
        <v>37</v>
      </c>
      <c r="L40" s="133">
        <f t="shared" si="4"/>
        <v>0</v>
      </c>
      <c r="M40" s="135" t="s">
        <v>5</v>
      </c>
      <c r="O40" s="244"/>
      <c r="P40" s="244"/>
      <c r="Q40" s="244"/>
      <c r="R40" s="244"/>
      <c r="S40" s="244"/>
      <c r="T40" s="244"/>
      <c r="U40" s="244"/>
      <c r="V40" s="244"/>
      <c r="W40" s="244"/>
      <c r="X40" s="244"/>
      <c r="Y40" s="244"/>
      <c r="Z40" s="244"/>
      <c r="AA40" s="244"/>
      <c r="AB40" s="244"/>
    </row>
    <row r="41" spans="1:28" ht="13.35" customHeight="1">
      <c r="A41" s="50" t="s">
        <v>5</v>
      </c>
      <c r="B41" s="141"/>
      <c r="C41" s="80"/>
      <c r="D41" s="93"/>
      <c r="E41" s="226"/>
      <c r="F41" s="89"/>
      <c r="G41" s="81"/>
      <c r="H41" s="82"/>
      <c r="I41" s="83" t="str">
        <f t="shared" si="2"/>
        <v/>
      </c>
      <c r="J41" s="361" t="str">
        <f t="shared" si="3"/>
        <v/>
      </c>
      <c r="K41" s="200">
        <v>38</v>
      </c>
      <c r="L41" s="133">
        <f t="shared" si="4"/>
        <v>0</v>
      </c>
      <c r="M41" s="135" t="s">
        <v>5</v>
      </c>
      <c r="O41" s="244"/>
      <c r="P41" s="244"/>
      <c r="Q41" s="244"/>
      <c r="R41" s="244"/>
      <c r="S41" s="244"/>
      <c r="T41" s="244"/>
      <c r="U41" s="244"/>
      <c r="V41" s="244"/>
      <c r="W41" s="244"/>
      <c r="X41" s="244"/>
      <c r="Y41" s="244"/>
      <c r="Z41" s="244"/>
      <c r="AA41" s="244"/>
      <c r="AB41" s="244"/>
    </row>
    <row r="42" spans="1:28" ht="13.35" customHeight="1">
      <c r="A42" s="50" t="s">
        <v>5</v>
      </c>
      <c r="B42" s="141"/>
      <c r="C42" s="80"/>
      <c r="D42" s="93"/>
      <c r="E42" s="226"/>
      <c r="F42" s="89"/>
      <c r="G42" s="81"/>
      <c r="H42" s="82"/>
      <c r="I42" s="83" t="str">
        <f t="shared" si="2"/>
        <v/>
      </c>
      <c r="J42" s="361" t="str">
        <f t="shared" si="3"/>
        <v/>
      </c>
      <c r="K42" s="200">
        <v>39</v>
      </c>
      <c r="L42" s="133">
        <f t="shared" si="4"/>
        <v>0</v>
      </c>
      <c r="M42" s="135" t="s">
        <v>5</v>
      </c>
      <c r="O42" s="244"/>
      <c r="P42" s="244"/>
      <c r="Q42" s="244"/>
      <c r="R42" s="244"/>
      <c r="S42" s="244"/>
      <c r="T42" s="244"/>
      <c r="U42" s="244"/>
      <c r="V42" s="244"/>
      <c r="W42" s="244"/>
      <c r="X42" s="244"/>
      <c r="Y42" s="244"/>
      <c r="Z42" s="244"/>
      <c r="AA42" s="244"/>
      <c r="AB42" s="244"/>
    </row>
    <row r="43" spans="1:28" ht="13.35" customHeight="1">
      <c r="A43" s="50" t="s">
        <v>5</v>
      </c>
      <c r="B43" s="141"/>
      <c r="C43" s="80"/>
      <c r="D43" s="93"/>
      <c r="E43" s="226"/>
      <c r="F43" s="89"/>
      <c r="G43" s="81"/>
      <c r="H43" s="82"/>
      <c r="I43" s="83" t="str">
        <f t="shared" si="2"/>
        <v/>
      </c>
      <c r="J43" s="361" t="str">
        <f t="shared" si="3"/>
        <v/>
      </c>
      <c r="K43" s="200">
        <v>40</v>
      </c>
      <c r="L43" s="133">
        <f t="shared" si="4"/>
        <v>0</v>
      </c>
      <c r="M43" s="135" t="s">
        <v>5</v>
      </c>
      <c r="O43" s="244"/>
      <c r="P43" s="244"/>
      <c r="Q43" s="244"/>
      <c r="R43" s="244"/>
      <c r="S43" s="244"/>
      <c r="T43" s="244"/>
      <c r="U43" s="244"/>
      <c r="V43" s="244"/>
      <c r="W43" s="244"/>
      <c r="X43" s="244"/>
      <c r="Y43" s="244"/>
      <c r="Z43" s="244"/>
      <c r="AA43" s="244"/>
      <c r="AB43" s="244"/>
    </row>
    <row r="44" spans="1:28" ht="13.35" customHeight="1">
      <c r="A44" s="50" t="s">
        <v>5</v>
      </c>
      <c r="B44" s="141"/>
      <c r="C44" s="80"/>
      <c r="D44" s="93"/>
      <c r="E44" s="226"/>
      <c r="F44" s="89"/>
      <c r="G44" s="81"/>
      <c r="H44" s="82"/>
      <c r="I44" s="83" t="str">
        <f t="shared" si="2"/>
        <v/>
      </c>
      <c r="J44" s="361" t="str">
        <f t="shared" si="3"/>
        <v/>
      </c>
      <c r="K44" s="200">
        <v>41</v>
      </c>
      <c r="L44" s="133">
        <f t="shared" si="4"/>
        <v>0</v>
      </c>
      <c r="M44" s="135" t="s">
        <v>5</v>
      </c>
      <c r="O44" s="244"/>
      <c r="P44" s="244"/>
      <c r="Q44" s="244"/>
      <c r="R44" s="244"/>
      <c r="S44" s="244"/>
      <c r="T44" s="244"/>
      <c r="U44" s="244"/>
      <c r="V44" s="244"/>
      <c r="W44" s="244"/>
      <c r="X44" s="244"/>
      <c r="Y44" s="244"/>
      <c r="Z44" s="244"/>
      <c r="AA44" s="244"/>
      <c r="AB44" s="244"/>
    </row>
    <row r="45" spans="1:28" ht="13.35" customHeight="1">
      <c r="A45" s="50" t="s">
        <v>5</v>
      </c>
      <c r="B45" s="141"/>
      <c r="C45" s="80"/>
      <c r="D45" s="93"/>
      <c r="E45" s="226"/>
      <c r="F45" s="89"/>
      <c r="G45" s="81"/>
      <c r="H45" s="82"/>
      <c r="I45" s="83" t="str">
        <f t="shared" ref="I45:I46" si="7">IF(G45&lt;&gt;"",+G45-G45/(1+H45/100),"")</f>
        <v/>
      </c>
      <c r="J45" s="361" t="str">
        <f t="shared" ref="J45:J46" si="8">IF(G45&lt;&gt;0,+G45-I45,"")</f>
        <v/>
      </c>
      <c r="K45" s="200">
        <v>44</v>
      </c>
      <c r="L45" s="133">
        <f t="shared" ref="L45:L46" si="9">IF(B45&lt;$O$2,0,IF(B45&lt;$P$2,1,IF(B45&lt;$Q$2,2,IF(B45&lt;$R$2,3,IF(B45&lt;$S$2,4,IF(B45&lt;$T$2,5,IF(B45&lt;$U$2,6,IF(B45&lt;$V$2,7,IF(B45&lt;$W$2,8,IF(B45&lt;$X$2,9,IF(B45&lt;$Y$2,10,IF(B45&lt;$Z$2,11,IF(B45&lt;=$Z$3,12,0)))))))))))))</f>
        <v>0</v>
      </c>
      <c r="M45" s="135" t="s">
        <v>5</v>
      </c>
      <c r="O45" s="244"/>
      <c r="P45" s="244"/>
      <c r="Q45" s="244"/>
      <c r="R45" s="244"/>
      <c r="S45" s="244"/>
      <c r="T45" s="244"/>
      <c r="U45" s="244"/>
      <c r="V45" s="244"/>
      <c r="W45" s="244"/>
      <c r="X45" s="244"/>
      <c r="Y45" s="244"/>
      <c r="Z45" s="244"/>
      <c r="AA45" s="244"/>
      <c r="AB45" s="244"/>
    </row>
    <row r="46" spans="1:28" ht="13.35" customHeight="1" thickBot="1">
      <c r="A46" s="50" t="s">
        <v>5</v>
      </c>
      <c r="B46" s="141"/>
      <c r="C46" s="80"/>
      <c r="D46" s="93"/>
      <c r="E46" s="226"/>
      <c r="F46" s="89"/>
      <c r="G46" s="81"/>
      <c r="H46" s="82"/>
      <c r="I46" s="83" t="str">
        <f t="shared" si="7"/>
        <v/>
      </c>
      <c r="J46" s="361" t="str">
        <f t="shared" si="8"/>
        <v/>
      </c>
      <c r="K46" s="200">
        <v>45</v>
      </c>
      <c r="L46" s="133">
        <f t="shared" si="9"/>
        <v>0</v>
      </c>
      <c r="M46" s="135" t="s">
        <v>5</v>
      </c>
      <c r="O46" s="244"/>
      <c r="P46" s="244"/>
      <c r="Q46" s="244"/>
      <c r="R46" s="244"/>
      <c r="S46" s="244"/>
      <c r="T46" s="244"/>
      <c r="U46" s="244"/>
      <c r="V46" s="244"/>
      <c r="W46" s="244"/>
      <c r="X46" s="244"/>
      <c r="Y46" s="244"/>
      <c r="Z46" s="244"/>
      <c r="AA46" s="244"/>
      <c r="AB46" s="244"/>
    </row>
    <row r="47" spans="1:28" ht="12" customHeight="1" thickTop="1" thickBot="1">
      <c r="A47" s="391" t="s">
        <v>283</v>
      </c>
      <c r="B47" s="1244" t="str">
        <f>IF($A$48=0,"^ Zeile einfügen","bis hierher ziehen!")</f>
        <v>^ Zeile einfügen</v>
      </c>
      <c r="C47" s="1244"/>
      <c r="D47" s="392" t="s">
        <v>5</v>
      </c>
      <c r="E47" s="393" t="s">
        <v>5</v>
      </c>
      <c r="F47" s="394" t="s">
        <v>5</v>
      </c>
      <c r="G47" s="394"/>
      <c r="H47" s="395"/>
      <c r="I47" s="396"/>
      <c r="J47" s="425"/>
      <c r="K47" s="201">
        <v>0</v>
      </c>
      <c r="L47" s="185" t="s">
        <v>5</v>
      </c>
      <c r="M47" s="398" t="s">
        <v>283</v>
      </c>
    </row>
    <row r="48" spans="1:28" ht="12" customHeight="1" thickTop="1" thickBot="1">
      <c r="A48" s="390">
        <f>COUNTBLANK(A3:A47)+A49</f>
        <v>0</v>
      </c>
      <c r="B48" s="193" t="str">
        <f>+EÜR!C43</f>
        <v>ü</v>
      </c>
      <c r="C48" s="194" t="s">
        <v>5</v>
      </c>
      <c r="D48" s="194" t="s">
        <v>5</v>
      </c>
      <c r="E48" s="195" t="s">
        <v>5</v>
      </c>
      <c r="F48" s="196" t="s">
        <v>5</v>
      </c>
      <c r="G48" s="197">
        <f>SUBTOTAL(9,G3:G47)</f>
        <v>0</v>
      </c>
      <c r="H48" s="1242">
        <f>SUBTOTAL(9,I3:I47)</f>
        <v>0</v>
      </c>
      <c r="I48" s="1243">
        <f>SUBTOTAL(9,I3:I47)</f>
        <v>0</v>
      </c>
      <c r="J48" s="1293">
        <f>G48-H48</f>
        <v>0</v>
      </c>
      <c r="K48" s="1294"/>
      <c r="L48" s="1295"/>
      <c r="M48" s="135" t="s">
        <v>5</v>
      </c>
    </row>
    <row r="49" spans="1:14" ht="12" customHeight="1" thickTop="1" thickBot="1">
      <c r="A49" s="390">
        <f>IF(ISERROR(J47),1,0)</f>
        <v>0</v>
      </c>
      <c r="B49" s="192">
        <f>J48-G49-E49-C49</f>
        <v>0</v>
      </c>
      <c r="C49" s="1239">
        <f>SUMIF(F4:F47,"Kreditkarte",G4:G47)</f>
        <v>0</v>
      </c>
      <c r="D49" s="1239"/>
      <c r="E49" s="1240">
        <f>SUMIF(F4:F47,"Konto",G4:G47)</f>
        <v>0</v>
      </c>
      <c r="F49" s="1240"/>
      <c r="G49" s="1241">
        <f>SUMIF(F4:F47,"Geldbeutel",G4:G47)</f>
        <v>0</v>
      </c>
      <c r="H49" s="1241"/>
      <c r="I49" s="1241"/>
      <c r="J49" s="1296"/>
      <c r="K49" s="1297"/>
      <c r="L49" s="1298"/>
      <c r="M49" s="135" t="s">
        <v>5</v>
      </c>
    </row>
    <row r="50" spans="1:14" s="15" customFormat="1" ht="5.25" customHeight="1" thickTop="1">
      <c r="A50" s="36"/>
      <c r="B50" s="2"/>
      <c r="C50" s="3"/>
      <c r="D50" s="3"/>
      <c r="E50" s="1"/>
      <c r="G50" s="16"/>
      <c r="H50" s="16"/>
      <c r="I50" s="17"/>
      <c r="J50" s="18"/>
      <c r="K50" s="18"/>
      <c r="L50" s="31"/>
      <c r="N50" s="148"/>
    </row>
    <row r="51" spans="1:14">
      <c r="A51" s="36"/>
    </row>
  </sheetData>
  <sheetProtection formatCells="0" insertRows="0" deleteRows="0" selectLockedCells="1" sort="0" autoFilter="0"/>
  <mergeCells count="15">
    <mergeCell ref="C2:I2"/>
    <mergeCell ref="J2:L2"/>
    <mergeCell ref="AA9:AB9"/>
    <mergeCell ref="O10:Z10"/>
    <mergeCell ref="O11:Z11"/>
    <mergeCell ref="AA13:AB13"/>
    <mergeCell ref="O14:Z14"/>
    <mergeCell ref="AA14:AB14"/>
    <mergeCell ref="AA4:AB4"/>
    <mergeCell ref="B47:C47"/>
    <mergeCell ref="H48:I48"/>
    <mergeCell ref="J48:L49"/>
    <mergeCell ref="C49:D49"/>
    <mergeCell ref="E49:F49"/>
    <mergeCell ref="G49:I49"/>
  </mergeCells>
  <phoneticPr fontId="188" type="noConversion"/>
  <conditionalFormatting sqref="A4:A46">
    <cfRule type="expression" dxfId="594" priority="23">
      <formula>ISERROR(J4)</formula>
    </cfRule>
    <cfRule type="cellIs" dxfId="593" priority="24" operator="equal">
      <formula>""</formula>
    </cfRule>
  </conditionalFormatting>
  <conditionalFormatting sqref="A47:C47">
    <cfRule type="expression" dxfId="592" priority="8">
      <formula>$A$48&lt;&gt;0</formula>
    </cfRule>
  </conditionalFormatting>
  <conditionalFormatting sqref="B2">
    <cfRule type="expression" dxfId="591" priority="51" stopIfTrue="1">
      <formula>$B$48="x"</formula>
    </cfRule>
  </conditionalFormatting>
  <conditionalFormatting sqref="B4:B46">
    <cfRule type="cellIs" dxfId="588" priority="37" operator="equal">
      <formula>""</formula>
    </cfRule>
  </conditionalFormatting>
  <conditionalFormatting sqref="B48">
    <cfRule type="cellIs" dxfId="587" priority="74" operator="equal">
      <formula>"y"</formula>
    </cfRule>
  </conditionalFormatting>
  <conditionalFormatting sqref="B3:J3">
    <cfRule type="expression" dxfId="586" priority="59">
      <formula>$B$48="x"</formula>
    </cfRule>
  </conditionalFormatting>
  <conditionalFormatting sqref="B3:J46">
    <cfRule type="expression" dxfId="585" priority="33">
      <formula>$B$1="x"</formula>
    </cfRule>
  </conditionalFormatting>
  <conditionalFormatting sqref="B3:L3">
    <cfRule type="expression" dxfId="584" priority="68">
      <formula>$B$48="x"</formula>
    </cfRule>
  </conditionalFormatting>
  <conditionalFormatting sqref="C4:D46">
    <cfRule type="expression" dxfId="583" priority="40">
      <formula>AND($B4&lt;&gt;"",$C4="")</formula>
    </cfRule>
  </conditionalFormatting>
  <conditionalFormatting sqref="C49:I49">
    <cfRule type="cellIs" dxfId="582" priority="71" stopIfTrue="1" operator="greaterThanOrEqual">
      <formula>0</formula>
    </cfRule>
    <cfRule type="cellIs" dxfId="581" priority="73" stopIfTrue="1" operator="lessThan">
      <formula>0</formula>
    </cfRule>
  </conditionalFormatting>
  <conditionalFormatting sqref="D47:J47">
    <cfRule type="expression" dxfId="580" priority="10">
      <formula>$A$48&lt;&gt;0</formula>
    </cfRule>
  </conditionalFormatting>
  <conditionalFormatting sqref="H4:H46">
    <cfRule type="expression" dxfId="579" priority="36">
      <formula>AND(G4&lt;&gt;"",H4="",$I$1&lt;&gt;"x")</formula>
    </cfRule>
  </conditionalFormatting>
  <conditionalFormatting sqref="H4:I46">
    <cfRule type="expression" dxfId="578" priority="34">
      <formula>AND($I4&lt;&gt;0,$I$1&lt;&gt;"ü")</formula>
    </cfRule>
    <cfRule type="expression" dxfId="577" priority="35">
      <formula>$I$1&lt;&gt;"ü"</formula>
    </cfRule>
  </conditionalFormatting>
  <conditionalFormatting sqref="J48:L48 C49:L49 C48:H48">
    <cfRule type="expression" dxfId="575" priority="70">
      <formula>$B$48="x"</formula>
    </cfRule>
  </conditionalFormatting>
  <conditionalFormatting sqref="J48:L49">
    <cfRule type="expression" dxfId="574" priority="69">
      <formula>AND($B$48="x",$J$48&lt;&gt;0)</formula>
    </cfRule>
  </conditionalFormatting>
  <conditionalFormatting sqref="K4:L46">
    <cfRule type="expression" dxfId="573" priority="16038">
      <formula>$B$48="x"</formula>
    </cfRule>
  </conditionalFormatting>
  <conditionalFormatting sqref="M3">
    <cfRule type="cellIs" dxfId="572" priority="32" operator="equal">
      <formula>""</formula>
    </cfRule>
  </conditionalFormatting>
  <conditionalFormatting sqref="M4:M46">
    <cfRule type="expression" dxfId="571" priority="30">
      <formula>ISERROR(J4)</formula>
    </cfRule>
    <cfRule type="cellIs" dxfId="570" priority="31" operator="equal">
      <formula>""</formula>
    </cfRule>
  </conditionalFormatting>
  <conditionalFormatting sqref="M47">
    <cfRule type="expression" dxfId="569" priority="9">
      <formula>$A$48&lt;&gt;0</formula>
    </cfRule>
  </conditionalFormatting>
  <conditionalFormatting sqref="M47:M49">
    <cfRule type="cellIs" dxfId="568" priority="12" operator="equal">
      <formula>""</formula>
    </cfRule>
  </conditionalFormatting>
  <conditionalFormatting sqref="N10:AB10">
    <cfRule type="expression" dxfId="567" priority="7">
      <formula>$N$2=0</formula>
    </cfRule>
  </conditionalFormatting>
  <conditionalFormatting sqref="O11:Z11">
    <cfRule type="cellIs" dxfId="566" priority="55" operator="equal">
      <formula>"Fehler!"</formula>
    </cfRule>
  </conditionalFormatting>
  <conditionalFormatting sqref="O4:AA4">
    <cfRule type="expression" dxfId="562" priority="50">
      <formula>$N$2=0</formula>
    </cfRule>
  </conditionalFormatting>
  <conditionalFormatting sqref="O2:AB3">
    <cfRule type="expression" dxfId="560" priority="2">
      <formula>$N$2=0</formula>
    </cfRule>
  </conditionalFormatting>
  <conditionalFormatting sqref="O5:AB8 O9:AA9">
    <cfRule type="expression" dxfId="559" priority="54">
      <formula>$N$2=0</formula>
    </cfRule>
  </conditionalFormatting>
  <conditionalFormatting sqref="O11:AB14">
    <cfRule type="expression" dxfId="558" priority="1">
      <formula>$N$2=0</formula>
    </cfRule>
  </conditionalFormatting>
  <conditionalFormatting sqref="O47:AB49">
    <cfRule type="expression" dxfId="557" priority="11">
      <formula>$N$2=0</formula>
    </cfRule>
  </conditionalFormatting>
  <dataValidations count="2">
    <dataValidation type="list" allowBlank="1" showInputMessage="1" showErrorMessage="1" sqref="F4:F46" xr:uid="{14709225-02E1-46F1-A5B8-0A069508472F}">
      <formula1>"Konto,Geldbeutel,Kreditkarte,x"</formula1>
    </dataValidation>
    <dataValidation type="list" allowBlank="1" showInputMessage="1" showErrorMessage="1" sqref="H4:H46" xr:uid="{01EE595E-857E-4DD0-9B89-2E9C49C5E288}">
      <formula1>"19,7,0,~"</formula1>
    </dataValidation>
  </dataValidations>
  <hyperlinks>
    <hyperlink ref="J2" location="'2022 EÜR'!A1" display="Menü" xr:uid="{264E1A7F-4838-4859-BFC6-42A2A291B07A}"/>
    <hyperlink ref="J2:L2" location="EÜR!A1" display="EÜR" xr:uid="{1119C3CA-44AA-402A-83D3-C3BA1B4B1E67}"/>
  </hyperlinks>
  <printOptions horizontalCentered="1"/>
  <pageMargins left="0" right="0" top="0" bottom="0.31496062992125984" header="0" footer="0"/>
  <pageSetup paperSize="9" orientation="portrait" r:id="rId1"/>
  <headerFooter>
    <oddFooter>&amp;L&amp;"Arial,Standard"&amp;8Datei: &amp;Z&amp;F/&amp;A&amp;C&amp;"Arial,Standard"&amp;8Seite &amp;P von &amp;N&amp;R&amp;"Arial,Standard"&amp;8Druck: &amp;D&amp;T Uhr</oddFooter>
  </headerFooter>
  <extLst>
    <ext xmlns:x14="http://schemas.microsoft.com/office/spreadsheetml/2009/9/main" uri="{78C0D931-6437-407d-A8EE-F0AAD7539E65}">
      <x14:conditionalFormattings>
        <x14:conditionalFormatting xmlns:xm="http://schemas.microsoft.com/office/excel/2006/main">
          <x14:cfRule type="cellIs" priority="38" operator="greaterThan" id="{553E2A49-3753-404F-A114-394B27314555}">
            <xm:f>EÜR!$I$78</xm:f>
            <x14:dxf>
              <font>
                <b/>
                <i val="0"/>
                <color rgb="FFFFFF00"/>
              </font>
              <fill>
                <patternFill>
                  <bgColor rgb="FFC00000"/>
                </patternFill>
              </fill>
            </x14:dxf>
          </x14:cfRule>
          <x14:cfRule type="cellIs" priority="39" operator="lessThan" id="{3481F4B0-96A4-49C7-A7E3-0E2715B765B9}">
            <xm:f>EÜR!$I$77</xm:f>
            <x14:dxf>
              <font>
                <b/>
                <i val="0"/>
                <color rgb="FFFFFF00"/>
              </font>
              <fill>
                <patternFill>
                  <bgColor rgb="FFC00000"/>
                </patternFill>
              </fill>
            </x14:dxf>
          </x14:cfRule>
          <xm:sqref>B4:B46</xm:sqref>
        </x14:conditionalFormatting>
        <x14:conditionalFormatting xmlns:xm="http://schemas.microsoft.com/office/excel/2006/main">
          <x14:cfRule type="expression" priority="52" id="{7F3A3AA9-5FA5-4B1B-9D3F-CBB54B44B15A}">
            <xm:f>AND(EÜR!$J$66&lt;&gt;"ü",$H$48&lt;&gt;0)</xm:f>
            <x14:dxf>
              <font>
                <b/>
                <i val="0"/>
                <color rgb="FFFFFF00"/>
              </font>
              <fill>
                <patternFill>
                  <bgColor rgb="FFFF0000"/>
                </patternFill>
              </fill>
            </x14:dxf>
          </x14:cfRule>
          <xm:sqref>H48:I48</xm:sqref>
        </x14:conditionalFormatting>
        <x14:conditionalFormatting xmlns:xm="http://schemas.microsoft.com/office/excel/2006/main">
          <x14:cfRule type="expression" priority="56" id="{11DAF618-B2A1-45B3-8CF5-2244FD2F520A}">
            <xm:f>AND(O13&lt;&gt;0,U!L36="!",U!L37="!")</xm:f>
            <x14:dxf>
              <font>
                <b/>
                <i val="0"/>
                <color rgb="FFFF0000"/>
              </font>
              <fill>
                <patternFill>
                  <bgColor rgb="FFFFCCCC"/>
                </patternFill>
              </fill>
            </x14:dxf>
          </x14:cfRule>
          <x14:cfRule type="expression" priority="57" id="{6C8C3E88-542E-4642-81A6-C5FB5198E19C}">
            <xm:f>U!L37&lt;&gt;"!"</xm:f>
            <x14:dxf>
              <font>
                <b/>
                <i val="0"/>
                <color rgb="FF006666"/>
              </font>
              <fill>
                <patternFill>
                  <bgColor theme="6" tint="0.39994506668294322"/>
                </patternFill>
              </fill>
            </x14:dxf>
          </x14:cfRule>
          <x14:cfRule type="expression" priority="58" id="{3AB8F329-B4E1-4DC1-AB54-7C9E4D32DD46}">
            <xm:f>U!L36&lt;&gt;"!"</xm:f>
            <x14:dxf>
              <font>
                <b/>
                <i val="0"/>
                <color theme="9" tint="-0.499984740745262"/>
              </font>
              <fill>
                <patternFill>
                  <bgColor rgb="FFFFFF99"/>
                </patternFill>
              </fill>
            </x14:dxf>
          </x14:cfRule>
          <xm:sqref>O13:Z13</xm:sqref>
        </x14:conditionalFormatting>
        <x14:conditionalFormatting xmlns:xm="http://schemas.microsoft.com/office/excel/2006/main">
          <x14:cfRule type="expression" priority="3" id="{1C7D692C-257F-4B8B-A8DC-9B528F2251A8}">
            <xm:f>EÜR!$J$66="-"</xm:f>
            <x14:dxf>
              <font>
                <b/>
                <i val="0"/>
                <color theme="0"/>
              </font>
              <fill>
                <patternFill>
                  <bgColor theme="0"/>
                </patternFill>
              </fill>
              <border>
                <left/>
                <right/>
                <top/>
                <bottom/>
              </border>
            </x14:dxf>
          </x14:cfRule>
          <xm:sqref>O12:AA14</xm:sqref>
        </x14:conditionalFormatting>
      </x14:conditionalFormattings>
    </ext>
  </extLst>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ACF2E1-BDC2-4C46-A916-F46FBE6B5897}">
  <sheetPr>
    <tabColor theme="9" tint="0.39997558519241921"/>
    <pageSetUpPr autoPageBreaks="0"/>
  </sheetPr>
  <dimension ref="A1:AB51"/>
  <sheetViews>
    <sheetView showGridLines="0" showRowColHeaders="0" zoomScaleNormal="100" workbookViewId="0">
      <pane ySplit="3" topLeftCell="A4" activePane="bottomLeft" state="frozen"/>
      <selection activeCell="F4" sqref="F4:F46"/>
      <selection pane="bottomLeft" activeCell="A4" sqref="A4"/>
    </sheetView>
  </sheetViews>
  <sheetFormatPr baseColWidth="10" defaultColWidth="9.77734375" defaultRowHeight="12.75"/>
  <cols>
    <col min="1" max="1" width="0.77734375" style="12" customWidth="1"/>
    <col min="2" max="2" width="7.6640625" style="30" customWidth="1"/>
    <col min="3" max="3" width="21.6640625" style="24" customWidth="1"/>
    <col min="4" max="4" width="7.6640625" style="24" customWidth="1"/>
    <col min="5" max="5" width="6.6640625" style="25" customWidth="1"/>
    <col min="6" max="6" width="9.6640625" style="26" customWidth="1"/>
    <col min="7" max="7" width="9.6640625" style="27" customWidth="1"/>
    <col min="8" max="8" width="2.6640625" style="28" customWidth="1"/>
    <col min="9" max="9" width="6.6640625" style="29" customWidth="1"/>
    <col min="10" max="10" width="9.6640625" style="27" customWidth="1"/>
    <col min="11" max="11" width="2.5546875" style="27" hidden="1" customWidth="1"/>
    <col min="12" max="12" width="1.5546875" style="32" hidden="1" customWidth="1"/>
    <col min="13" max="13" width="0.77734375" style="13" customWidth="1"/>
    <col min="14" max="14" width="1.77734375" style="147" customWidth="1"/>
    <col min="15" max="26" width="8.77734375" style="13" customWidth="1"/>
    <col min="27" max="27" width="10.33203125" style="13" customWidth="1"/>
    <col min="28" max="28" width="8.33203125" style="13" customWidth="1"/>
    <col min="29" max="16384" width="9.77734375" style="13"/>
  </cols>
  <sheetData>
    <row r="1" spans="1:28" s="37" customFormat="1" ht="3" customHeight="1" thickBot="1">
      <c r="A1" s="36"/>
      <c r="B1" s="53" t="str">
        <f>+B48</f>
        <v>ü</v>
      </c>
      <c r="C1" s="54">
        <f>+C49</f>
        <v>0</v>
      </c>
      <c r="D1" s="54"/>
      <c r="E1" s="53">
        <f>+E49</f>
        <v>0</v>
      </c>
      <c r="F1" s="53"/>
      <c r="G1" s="54">
        <f>+G49</f>
        <v>0</v>
      </c>
      <c r="H1" s="53"/>
      <c r="I1" s="338" t="str">
        <f>+EÜR!J66</f>
        <v>-</v>
      </c>
      <c r="J1" s="54">
        <f>+J48</f>
        <v>0</v>
      </c>
      <c r="K1" s="198"/>
      <c r="L1" s="56"/>
      <c r="N1" s="190"/>
    </row>
    <row r="2" spans="1:28" ht="23.1" customHeight="1" thickTop="1" thickBot="1">
      <c r="A2" s="36"/>
      <c r="B2" s="296" t="str">
        <f>+EÜR!D44</f>
        <v>A23</v>
      </c>
      <c r="C2" s="1290" t="str">
        <f>+EÜR!F44</f>
        <v>abziehbare Geschenke</v>
      </c>
      <c r="D2" s="1291"/>
      <c r="E2" s="1291"/>
      <c r="F2" s="1291"/>
      <c r="G2" s="1291"/>
      <c r="H2" s="1291"/>
      <c r="I2" s="1292"/>
      <c r="J2" s="1227" t="s">
        <v>8</v>
      </c>
      <c r="K2" s="1228"/>
      <c r="L2" s="1229"/>
      <c r="M2" s="134"/>
      <c r="N2" s="190">
        <f>IF(OR(B48="x",N3=1),0,1)</f>
        <v>1</v>
      </c>
      <c r="O2" s="188">
        <f>+EOMONTH(EÜR!$I$3,-1)+1</f>
        <v>46023</v>
      </c>
      <c r="P2" s="188">
        <f t="shared" ref="P2:Z2" si="0">+O3+1</f>
        <v>46054</v>
      </c>
      <c r="Q2" s="188">
        <f t="shared" si="0"/>
        <v>46082</v>
      </c>
      <c r="R2" s="188">
        <f t="shared" si="0"/>
        <v>46113</v>
      </c>
      <c r="S2" s="188">
        <f t="shared" si="0"/>
        <v>46143</v>
      </c>
      <c r="T2" s="188">
        <f t="shared" si="0"/>
        <v>46174</v>
      </c>
      <c r="U2" s="188">
        <f t="shared" si="0"/>
        <v>46204</v>
      </c>
      <c r="V2" s="188">
        <f t="shared" si="0"/>
        <v>46235</v>
      </c>
      <c r="W2" s="188">
        <f t="shared" si="0"/>
        <v>46266</v>
      </c>
      <c r="X2" s="188">
        <f t="shared" si="0"/>
        <v>46296</v>
      </c>
      <c r="Y2" s="188">
        <f t="shared" si="0"/>
        <v>46327</v>
      </c>
      <c r="Z2" s="188">
        <f t="shared" si="0"/>
        <v>46357</v>
      </c>
      <c r="AA2" s="48"/>
    </row>
    <row r="3" spans="1:28" ht="14.25" customHeight="1" thickTop="1">
      <c r="A3" s="36" t="s">
        <v>5</v>
      </c>
      <c r="B3" s="58" t="s">
        <v>1</v>
      </c>
      <c r="C3" s="59" t="s">
        <v>6</v>
      </c>
      <c r="D3" s="60"/>
      <c r="E3" s="310" t="s">
        <v>7</v>
      </c>
      <c r="F3" s="61" t="s">
        <v>4</v>
      </c>
      <c r="G3" s="62" t="s">
        <v>31</v>
      </c>
      <c r="H3" s="63" t="s">
        <v>33</v>
      </c>
      <c r="I3" s="64" t="s">
        <v>32</v>
      </c>
      <c r="J3" s="275" t="s">
        <v>34</v>
      </c>
      <c r="K3" s="199">
        <v>0</v>
      </c>
      <c r="L3" s="65" t="s">
        <v>5</v>
      </c>
      <c r="M3" s="135" t="s">
        <v>5</v>
      </c>
      <c r="N3" s="222">
        <f>IF(SUBTOTAL(109,K3:K47)&lt;&gt;SUM(K3:K47),1,0)</f>
        <v>0</v>
      </c>
      <c r="O3" s="189">
        <f>EOMONTH(O2,0)</f>
        <v>46053</v>
      </c>
      <c r="P3" s="189">
        <f t="shared" ref="P3:Z3" si="1">EOMONTH(P2,0)</f>
        <v>46081</v>
      </c>
      <c r="Q3" s="189">
        <f t="shared" si="1"/>
        <v>46112</v>
      </c>
      <c r="R3" s="189">
        <f t="shared" si="1"/>
        <v>46142</v>
      </c>
      <c r="S3" s="189">
        <f t="shared" si="1"/>
        <v>46173</v>
      </c>
      <c r="T3" s="189">
        <f t="shared" si="1"/>
        <v>46203</v>
      </c>
      <c r="U3" s="189">
        <f t="shared" si="1"/>
        <v>46234</v>
      </c>
      <c r="V3" s="189">
        <f t="shared" si="1"/>
        <v>46265</v>
      </c>
      <c r="W3" s="189">
        <f t="shared" si="1"/>
        <v>46295</v>
      </c>
      <c r="X3" s="189">
        <f t="shared" si="1"/>
        <v>46326</v>
      </c>
      <c r="Y3" s="189">
        <f t="shared" si="1"/>
        <v>46356</v>
      </c>
      <c r="Z3" s="189">
        <f t="shared" si="1"/>
        <v>46387</v>
      </c>
      <c r="AB3" s="14"/>
    </row>
    <row r="4" spans="1:28" ht="13.35" customHeight="1">
      <c r="A4" s="50" t="s">
        <v>5</v>
      </c>
      <c r="B4" s="141"/>
      <c r="C4" s="80"/>
      <c r="D4" s="93"/>
      <c r="E4" s="226"/>
      <c r="F4" s="89"/>
      <c r="G4" s="81"/>
      <c r="H4" s="82"/>
      <c r="I4" s="83" t="str">
        <f t="shared" ref="I4:I44" si="2">IF(G4&lt;&gt;"",+G4-G4/(1+H4/100),"")</f>
        <v/>
      </c>
      <c r="J4" s="361" t="str">
        <f t="shared" ref="J4:J44" si="3">IF(G4&lt;&gt;0,+G4-I4,"")</f>
        <v/>
      </c>
      <c r="K4" s="200">
        <v>1</v>
      </c>
      <c r="L4" s="133">
        <f>IF(B4&lt;$O$2,0,IF(B4&lt;$P$2,1,IF(B4&lt;$Q$2,2,IF(B4&lt;$R$2,3,IF(B4&lt;$S$2,4,IF(B4&lt;$T$2,5,IF(B4&lt;$U$2,6,IF(B4&lt;$V$2,7,IF(B4&lt;$W$2,8,IF(B4&lt;$X$2,9,IF(B4&lt;$Y$2,10,IF(B4&lt;$Z$2,11,IF(B4&lt;=$Z$3,12,0)))))))))))))</f>
        <v>0</v>
      </c>
      <c r="M4" s="135" t="s">
        <v>5</v>
      </c>
      <c r="N4" s="190">
        <f>+N10+AA12+AA16</f>
        <v>0</v>
      </c>
      <c r="O4" s="251" t="s">
        <v>36</v>
      </c>
      <c r="P4" s="251" t="s">
        <v>37</v>
      </c>
      <c r="Q4" s="251" t="s">
        <v>38</v>
      </c>
      <c r="R4" s="251" t="s">
        <v>39</v>
      </c>
      <c r="S4" s="251" t="s">
        <v>40</v>
      </c>
      <c r="T4" s="251" t="s">
        <v>41</v>
      </c>
      <c r="U4" s="251" t="s">
        <v>42</v>
      </c>
      <c r="V4" s="251" t="s">
        <v>43</v>
      </c>
      <c r="W4" s="251" t="s">
        <v>44</v>
      </c>
      <c r="X4" s="251" t="s">
        <v>45</v>
      </c>
      <c r="Y4" s="251" t="s">
        <v>46</v>
      </c>
      <c r="Z4" s="251" t="s">
        <v>47</v>
      </c>
      <c r="AA4" s="1209" t="s">
        <v>255</v>
      </c>
      <c r="AB4" s="1210"/>
    </row>
    <row r="5" spans="1:28" ht="13.35" customHeight="1">
      <c r="A5" s="50" t="s">
        <v>5</v>
      </c>
      <c r="B5" s="141"/>
      <c r="C5" s="80"/>
      <c r="D5" s="93"/>
      <c r="E5" s="226"/>
      <c r="F5" s="89"/>
      <c r="G5" s="81"/>
      <c r="H5" s="82"/>
      <c r="I5" s="83" t="str">
        <f t="shared" si="2"/>
        <v/>
      </c>
      <c r="J5" s="361" t="str">
        <f t="shared" si="3"/>
        <v/>
      </c>
      <c r="K5" s="200">
        <v>2</v>
      </c>
      <c r="L5" s="133">
        <f t="shared" ref="L5:L44" si="4">IF(B5&lt;$O$2,0,IF(B5&lt;$P$2,1,IF(B5&lt;$Q$2,2,IF(B5&lt;$R$2,3,IF(B5&lt;$S$2,4,IF(B5&lt;$T$2,5,IF(B5&lt;$U$2,6,IF(B5&lt;$V$2,7,IF(B5&lt;$W$2,8,IF(B5&lt;$X$2,9,IF(B5&lt;$Y$2,10,IF(B5&lt;$Z$2,11,IF(B5&lt;=$Z$3,12,0)))))))))))))</f>
        <v>0</v>
      </c>
      <c r="M5" s="135" t="s">
        <v>5</v>
      </c>
      <c r="O5" s="252">
        <f>SUMIFS($G$3:$G$47,$L$3:$L$47,1,$F$3:$F$47,"Konto")</f>
        <v>0</v>
      </c>
      <c r="P5" s="252">
        <f>SUMIFS($G$3:$G$47,$L$3:$L$47,2,$F$3:$F$47,"Konto")</f>
        <v>0</v>
      </c>
      <c r="Q5" s="252">
        <f>SUMIFS($G$3:$G$47,$L$3:$L$47,3,$F$3:$F$47,"Konto")</f>
        <v>0</v>
      </c>
      <c r="R5" s="252">
        <f>SUMIFS($G$3:$G$47,$L$3:$L$47,4,$F$3:$F$47,"Konto")</f>
        <v>0</v>
      </c>
      <c r="S5" s="252">
        <f>SUMIFS($G$3:$G$47,$L$3:$L$47,5,$F$3:$F$47,"Konto")</f>
        <v>0</v>
      </c>
      <c r="T5" s="252">
        <f>SUMIFS($G$3:$G$47,$L$3:$L$47,6,$F$3:$F$47,"Konto")</f>
        <v>0</v>
      </c>
      <c r="U5" s="252">
        <f>SUMIFS($G$3:$G$47,$L$3:$L$47,7,$F$3:$F$47,"Konto")</f>
        <v>0</v>
      </c>
      <c r="V5" s="252">
        <f>SUMIFS($G$3:$G$47,$L$3:$L$47,8,$F$3:$F$47,"Konto")</f>
        <v>0</v>
      </c>
      <c r="W5" s="252">
        <f>SUMIFS($G$3:$G$47,$L$3:$L$47,9,$F$3:$F$47,"Konto")</f>
        <v>0</v>
      </c>
      <c r="X5" s="252">
        <f>SUMIFS($G$3:$G$47,$L$3:$L$47,10,$F$3:$F$47,"Konto")</f>
        <v>0</v>
      </c>
      <c r="Y5" s="252">
        <f>SUMIFS($G$3:$G$47,$L$3:$L$47,11,$F$3:$F$47,"Konto")</f>
        <v>0</v>
      </c>
      <c r="Z5" s="252">
        <f>SUMIFS($G$3:$G$47,$L$3:$L$47,12,$F$3:$F$47,"Konto")</f>
        <v>0</v>
      </c>
      <c r="AA5" s="253">
        <f>SUM(O5:Z5)</f>
        <v>0</v>
      </c>
      <c r="AB5" s="254" t="s">
        <v>140</v>
      </c>
    </row>
    <row r="6" spans="1:28" ht="13.35" customHeight="1">
      <c r="A6" s="50" t="s">
        <v>5</v>
      </c>
      <c r="B6" s="141"/>
      <c r="C6" s="80"/>
      <c r="D6" s="93"/>
      <c r="E6" s="226"/>
      <c r="F6" s="89"/>
      <c r="G6" s="81"/>
      <c r="H6" s="82"/>
      <c r="I6" s="83" t="str">
        <f t="shared" si="2"/>
        <v/>
      </c>
      <c r="J6" s="361" t="str">
        <f t="shared" si="3"/>
        <v/>
      </c>
      <c r="K6" s="200">
        <v>3</v>
      </c>
      <c r="L6" s="133">
        <f t="shared" si="4"/>
        <v>0</v>
      </c>
      <c r="M6" s="135" t="s">
        <v>5</v>
      </c>
      <c r="N6" s="190"/>
      <c r="O6" s="252">
        <f>SUMIFS($G$3:$G$47,$L$3:$L$47,1,$F$3:$F$47,"Kreditkarte")</f>
        <v>0</v>
      </c>
      <c r="P6" s="252">
        <f>SUMIFS($G$3:$G$47,$L$3:$L$47,2,$F$3:$F$47,"Kreditkarte")</f>
        <v>0</v>
      </c>
      <c r="Q6" s="252">
        <f>SUMIFS($G$3:$G$47,$L$3:$L$47,3,$F$3:$F$47,"Kreditkarte")</f>
        <v>0</v>
      </c>
      <c r="R6" s="252">
        <f>SUMIFS($G$3:$G$47,$L$3:$L$47,4,$F$3:$F$47,"Kreditkarte")</f>
        <v>0</v>
      </c>
      <c r="S6" s="252">
        <f>SUMIFS($G$3:$G$47,$L$3:$L$47,5,$F$3:$F$47,"Kreditkarte")</f>
        <v>0</v>
      </c>
      <c r="T6" s="252">
        <f>SUMIFS($G$3:$G$47,$L$3:$L$47,6,$F$3:$F$47,"Kreditkarte")</f>
        <v>0</v>
      </c>
      <c r="U6" s="252">
        <f>SUMIFS($G$3:$G$47,$L$3:$L$47,7,$F$3:$F$47,"Kreditkarte")</f>
        <v>0</v>
      </c>
      <c r="V6" s="252">
        <f>SUMIFS($G$3:$G$47,$L$3:$L$47,8,$F$3:$F$47,"Kreditkarte")</f>
        <v>0</v>
      </c>
      <c r="W6" s="252">
        <f>SUMIFS($G$3:$G$47,$L$3:$L$47,9,$F$3:$F$47,"Kreditkarte")</f>
        <v>0</v>
      </c>
      <c r="X6" s="252">
        <f>SUMIFS($G$3:$G$47,$L$3:$L$47,10,$F$3:$F$47,"Kreditkarte")</f>
        <v>0</v>
      </c>
      <c r="Y6" s="252">
        <f>SUMIFS($G$3:$G$47,$L$3:$L$47,11,$F$3:$F$47,"Kreditkarte")</f>
        <v>0</v>
      </c>
      <c r="Z6" s="252">
        <f>SUMIFS($G$3:$G$47,$L$3:$L$47,12,$F$3:$F$47,"Kreditkarte")</f>
        <v>0</v>
      </c>
      <c r="AA6" s="255">
        <f t="shared" ref="AA6:AA8" si="5">SUM(O6:Z6)</f>
        <v>0</v>
      </c>
      <c r="AB6" s="256" t="s">
        <v>142</v>
      </c>
    </row>
    <row r="7" spans="1:28" ht="13.35" customHeight="1">
      <c r="A7" s="50" t="s">
        <v>5</v>
      </c>
      <c r="B7" s="141"/>
      <c r="C7" s="80"/>
      <c r="D7" s="93"/>
      <c r="E7" s="226"/>
      <c r="F7" s="89"/>
      <c r="G7" s="81"/>
      <c r="H7" s="82"/>
      <c r="I7" s="83" t="str">
        <f t="shared" si="2"/>
        <v/>
      </c>
      <c r="J7" s="361" t="str">
        <f t="shared" si="3"/>
        <v/>
      </c>
      <c r="K7" s="200">
        <v>4</v>
      </c>
      <c r="L7" s="133">
        <f t="shared" si="4"/>
        <v>0</v>
      </c>
      <c r="M7" s="135" t="s">
        <v>5</v>
      </c>
      <c r="O7" s="252">
        <f>SUMIFS($G$3:$G$47,$L$3:$L$47,1,$F$3:$F$47,"Geldbeutel")</f>
        <v>0</v>
      </c>
      <c r="P7" s="252">
        <f>SUMIFS($G$3:$G$47,$L$3:$L$47,2,$F$3:$F$47,"Geldbeutel")</f>
        <v>0</v>
      </c>
      <c r="Q7" s="252">
        <f>SUMIFS($G$3:$G$47,$L$3:$L$47,3,$F$3:$F$47,"Geldbeutel")</f>
        <v>0</v>
      </c>
      <c r="R7" s="252">
        <f>SUMIFS($G$3:$G$47,$L$3:$L$47,4,$F$3:$F$47,"Geldbeutel")</f>
        <v>0</v>
      </c>
      <c r="S7" s="252">
        <f>SUMIFS($G$3:$G$47,$L$3:$L$47,5,$F$3:$F$47,"Geldbeutel")</f>
        <v>0</v>
      </c>
      <c r="T7" s="252">
        <f>SUMIFS($G$3:$G$47,$L$3:$L$47,6,$F$3:$F$47,"Geldbeutel")</f>
        <v>0</v>
      </c>
      <c r="U7" s="252">
        <f>SUMIFS($G$3:$G$47,$L$3:$L$47,7,$F$3:$F$47,"Geldbeutel")</f>
        <v>0</v>
      </c>
      <c r="V7" s="252">
        <f>SUMIFS($G$3:$G$47,$L$3:$L$47,8,$F$3:$F$47,"Geldbeutel")</f>
        <v>0</v>
      </c>
      <c r="W7" s="252">
        <f>SUMIFS($G$3:$G$47,$L$3:$L$47,9,$F$3:$F$47,"Geldbeutel")</f>
        <v>0</v>
      </c>
      <c r="X7" s="252">
        <f>SUMIFS($G$3:$G$47,$L$3:$L$47,10,$F$3:$F$47,"Geldbeutel")</f>
        <v>0</v>
      </c>
      <c r="Y7" s="252">
        <f>SUMIFS($G$3:$G$47,$L$3:$L$47,11,$F$3:$F$47,"Geldbeutel")</f>
        <v>0</v>
      </c>
      <c r="Z7" s="252">
        <f>SUMIFS($G$3:$G$47,$L$3:$L$47,12,$F$3:$F$47,"Geldbeutel")</f>
        <v>0</v>
      </c>
      <c r="AA7" s="253">
        <f t="shared" si="5"/>
        <v>0</v>
      </c>
      <c r="AB7" s="254" t="s">
        <v>139</v>
      </c>
    </row>
    <row r="8" spans="1:28" ht="13.35" customHeight="1">
      <c r="A8" s="50" t="s">
        <v>5</v>
      </c>
      <c r="B8" s="141"/>
      <c r="C8" s="80"/>
      <c r="D8" s="93"/>
      <c r="E8" s="226"/>
      <c r="F8" s="89"/>
      <c r="G8" s="81"/>
      <c r="H8" s="82"/>
      <c r="I8" s="83" t="str">
        <f t="shared" si="2"/>
        <v/>
      </c>
      <c r="J8" s="361" t="str">
        <f t="shared" si="3"/>
        <v/>
      </c>
      <c r="K8" s="200">
        <v>5</v>
      </c>
      <c r="L8" s="133">
        <f t="shared" si="4"/>
        <v>0</v>
      </c>
      <c r="M8" s="135" t="s">
        <v>5</v>
      </c>
      <c r="O8" s="252">
        <f>SUMIFS($G$3:$G$47,$L$3:$L$47,1,$F$3:$F$47,"X")</f>
        <v>0</v>
      </c>
      <c r="P8" s="252">
        <f>SUMIFS($G$3:$G$47,$L$3:$L$47,2,$F$3:$F$47,"X")</f>
        <v>0</v>
      </c>
      <c r="Q8" s="252">
        <f>SUMIFS($G$3:$G$47,$L$3:$L$47,3,$F$3:$F$47,"X")</f>
        <v>0</v>
      </c>
      <c r="R8" s="252">
        <f>SUMIFS($G$3:$G$47,$L$3:$L$47,4,$F$3:$F$47,"X")</f>
        <v>0</v>
      </c>
      <c r="S8" s="252">
        <f>SUMIFS($G$3:$G$47,$L$3:$L$47,5,$F$3:$F$47,"X")</f>
        <v>0</v>
      </c>
      <c r="T8" s="252">
        <f>SUMIFS($G$3:$G$47,$L$3:$L$47,6,$F$3:$F$47,"X")</f>
        <v>0</v>
      </c>
      <c r="U8" s="252">
        <f>SUMIFS($G$3:$G$47,$L$3:$L$47,7,$F$3:$F$47,"X")</f>
        <v>0</v>
      </c>
      <c r="V8" s="252">
        <f>SUMIFS($G$3:$G$47,$L$3:$L$47,8,$F$3:$F$47,"X")</f>
        <v>0</v>
      </c>
      <c r="W8" s="252">
        <f>SUMIFS($G$3:$G$47,$L$3:$L$47,9,$F$3:$F$47,"X")</f>
        <v>0</v>
      </c>
      <c r="X8" s="252">
        <f>SUMIFS($G$3:$G$47,$L$3:$L$47,10,$F$3:$F$47,"X")</f>
        <v>0</v>
      </c>
      <c r="Y8" s="252">
        <f>SUMIFS($G$3:$G$47,$L$3:$L$47,11,$F$3:$F$47,"X")</f>
        <v>0</v>
      </c>
      <c r="Z8" s="252">
        <f>SUMIFS($G$3:$G$47,$L$3:$L$47,12,$F$3:$F$47,"X")</f>
        <v>0</v>
      </c>
      <c r="AA8" s="255">
        <f t="shared" si="5"/>
        <v>0</v>
      </c>
      <c r="AB8" s="256" t="s">
        <v>192</v>
      </c>
    </row>
    <row r="9" spans="1:28" ht="13.35" customHeight="1">
      <c r="A9" s="50" t="s">
        <v>5</v>
      </c>
      <c r="B9" s="141"/>
      <c r="C9" s="80"/>
      <c r="D9" s="93"/>
      <c r="E9" s="226"/>
      <c r="F9" s="89"/>
      <c r="G9" s="81"/>
      <c r="H9" s="82"/>
      <c r="I9" s="83" t="str">
        <f t="shared" ref="I9" si="6">IF(G9&lt;&gt;"",+G9-G9/(1+H9/100),"")</f>
        <v/>
      </c>
      <c r="J9" s="361" t="str">
        <f t="shared" si="3"/>
        <v/>
      </c>
      <c r="K9" s="200">
        <v>6</v>
      </c>
      <c r="L9" s="133">
        <f t="shared" si="4"/>
        <v>0</v>
      </c>
      <c r="M9" s="135" t="s">
        <v>5</v>
      </c>
      <c r="N9" s="191">
        <f>IF(OR(AND(AA14&lt;&gt;0,B48="x"),(O14+AA13)&lt;&gt;H48),1,0)</f>
        <v>0</v>
      </c>
      <c r="O9" s="257">
        <f>SUM(O5:O8)</f>
        <v>0</v>
      </c>
      <c r="P9" s="257">
        <f t="shared" ref="P9:Z9" si="7">SUM(P5:P8)</f>
        <v>0</v>
      </c>
      <c r="Q9" s="257">
        <f t="shared" si="7"/>
        <v>0</v>
      </c>
      <c r="R9" s="257">
        <f t="shared" si="7"/>
        <v>0</v>
      </c>
      <c r="S9" s="257">
        <f t="shared" si="7"/>
        <v>0</v>
      </c>
      <c r="T9" s="257">
        <f t="shared" si="7"/>
        <v>0</v>
      </c>
      <c r="U9" s="257">
        <f t="shared" si="7"/>
        <v>0</v>
      </c>
      <c r="V9" s="257">
        <f t="shared" si="7"/>
        <v>0</v>
      </c>
      <c r="W9" s="257">
        <f t="shared" si="7"/>
        <v>0</v>
      </c>
      <c r="X9" s="257">
        <f t="shared" si="7"/>
        <v>0</v>
      </c>
      <c r="Y9" s="257">
        <f t="shared" si="7"/>
        <v>0</v>
      </c>
      <c r="Z9" s="257">
        <f t="shared" si="7"/>
        <v>0</v>
      </c>
      <c r="AA9" s="1211" t="s">
        <v>197</v>
      </c>
      <c r="AB9" s="1212"/>
    </row>
    <row r="10" spans="1:28" ht="13.35" customHeight="1">
      <c r="A10" s="50" t="s">
        <v>5</v>
      </c>
      <c r="B10" s="141"/>
      <c r="C10" s="80"/>
      <c r="D10" s="93"/>
      <c r="E10" s="226"/>
      <c r="F10" s="89"/>
      <c r="G10" s="81"/>
      <c r="H10" s="82"/>
      <c r="I10" s="83" t="str">
        <f t="shared" si="2"/>
        <v/>
      </c>
      <c r="J10" s="361" t="str">
        <f t="shared" si="3"/>
        <v/>
      </c>
      <c r="K10" s="200">
        <v>7</v>
      </c>
      <c r="L10" s="133">
        <f t="shared" si="4"/>
        <v>0</v>
      </c>
      <c r="M10" s="135" t="s">
        <v>5</v>
      </c>
      <c r="N10" s="259">
        <f>IF(O10+AA10&lt;&gt;G48,1,0)</f>
        <v>0</v>
      </c>
      <c r="O10" s="1230">
        <f>SUM(O5:Z8)</f>
        <v>0</v>
      </c>
      <c r="P10" s="1231"/>
      <c r="Q10" s="1231"/>
      <c r="R10" s="1231"/>
      <c r="S10" s="1231"/>
      <c r="T10" s="1231"/>
      <c r="U10" s="1231"/>
      <c r="V10" s="1231"/>
      <c r="W10" s="1231"/>
      <c r="X10" s="1231"/>
      <c r="Y10" s="1231"/>
      <c r="Z10" s="1232"/>
      <c r="AA10" s="292">
        <f>+G48-AA7-AA6-AA5-AA8</f>
        <v>0</v>
      </c>
      <c r="AB10" s="293" t="s">
        <v>205</v>
      </c>
    </row>
    <row r="11" spans="1:28" ht="13.35" customHeight="1">
      <c r="A11" s="50" t="s">
        <v>5</v>
      </c>
      <c r="B11" s="141"/>
      <c r="C11" s="80"/>
      <c r="D11" s="93"/>
      <c r="E11" s="226"/>
      <c r="F11" s="89"/>
      <c r="G11" s="81"/>
      <c r="H11" s="82"/>
      <c r="I11" s="83" t="str">
        <f t="shared" si="2"/>
        <v/>
      </c>
      <c r="J11" s="361" t="str">
        <f t="shared" si="3"/>
        <v/>
      </c>
      <c r="K11" s="200">
        <v>8</v>
      </c>
      <c r="L11" s="133">
        <f t="shared" si="4"/>
        <v>0</v>
      </c>
      <c r="M11" s="135" t="s">
        <v>5</v>
      </c>
      <c r="O11" s="1219" t="str">
        <f>IF(N4&gt;0,"Fehler!","")</f>
        <v/>
      </c>
      <c r="P11" s="1219"/>
      <c r="Q11" s="1219"/>
      <c r="R11" s="1219"/>
      <c r="S11" s="1219"/>
      <c r="T11" s="1219"/>
      <c r="U11" s="1219"/>
      <c r="V11" s="1219"/>
      <c r="W11" s="1219"/>
      <c r="X11" s="1219"/>
      <c r="Y11" s="1219"/>
      <c r="Z11" s="1219"/>
    </row>
    <row r="12" spans="1:28" ht="13.35" customHeight="1">
      <c r="A12" s="50" t="s">
        <v>5</v>
      </c>
      <c r="B12" s="141"/>
      <c r="C12" s="80"/>
      <c r="D12" s="93"/>
      <c r="E12" s="226"/>
      <c r="F12" s="89"/>
      <c r="G12" s="81"/>
      <c r="H12" s="82"/>
      <c r="I12" s="83" t="str">
        <f t="shared" si="2"/>
        <v/>
      </c>
      <c r="J12" s="361" t="str">
        <f t="shared" si="3"/>
        <v/>
      </c>
      <c r="K12" s="200">
        <v>9</v>
      </c>
      <c r="L12" s="133">
        <f t="shared" si="4"/>
        <v>0</v>
      </c>
      <c r="M12" s="135" t="s">
        <v>5</v>
      </c>
      <c r="O12" s="203" t="s">
        <v>36</v>
      </c>
      <c r="P12" s="203" t="s">
        <v>37</v>
      </c>
      <c r="Q12" s="203" t="s">
        <v>38</v>
      </c>
      <c r="R12" s="203" t="s">
        <v>39</v>
      </c>
      <c r="S12" s="203" t="s">
        <v>40</v>
      </c>
      <c r="T12" s="203" t="s">
        <v>41</v>
      </c>
      <c r="U12" s="203" t="s">
        <v>42</v>
      </c>
      <c r="V12" s="203" t="s">
        <v>43</v>
      </c>
      <c r="W12" s="203" t="s">
        <v>44</v>
      </c>
      <c r="X12" s="203" t="s">
        <v>45</v>
      </c>
      <c r="Y12" s="203" t="s">
        <v>46</v>
      </c>
      <c r="Z12" s="203" t="s">
        <v>47</v>
      </c>
      <c r="AA12" s="221">
        <f>IF(O14+AA13&lt;&gt;H48,1,0)</f>
        <v>0</v>
      </c>
    </row>
    <row r="13" spans="1:28" ht="13.35" customHeight="1">
      <c r="A13" s="50" t="s">
        <v>5</v>
      </c>
      <c r="B13" s="141"/>
      <c r="C13" s="80"/>
      <c r="D13" s="93"/>
      <c r="E13" s="226"/>
      <c r="F13" s="89"/>
      <c r="G13" s="81"/>
      <c r="H13" s="82"/>
      <c r="I13" s="83" t="str">
        <f t="shared" si="2"/>
        <v/>
      </c>
      <c r="J13" s="361" t="str">
        <f t="shared" si="3"/>
        <v/>
      </c>
      <c r="K13" s="200">
        <v>10</v>
      </c>
      <c r="L13" s="133">
        <f t="shared" si="4"/>
        <v>0</v>
      </c>
      <c r="M13" s="135" t="s">
        <v>5</v>
      </c>
      <c r="O13" s="187">
        <f>SUMIF($L$3:$L$47,1,$I$3:$I$47)</f>
        <v>0</v>
      </c>
      <c r="P13" s="187">
        <f>SUMIF($L$3:$L$47,2,$I$3:$I$47)</f>
        <v>0</v>
      </c>
      <c r="Q13" s="187">
        <f>SUMIF($L$3:$L$47,3,$I$3:$I$47)</f>
        <v>0</v>
      </c>
      <c r="R13" s="187">
        <f>SUMIF($L$3:$L$47,4,$I$3:$I$47)</f>
        <v>0</v>
      </c>
      <c r="S13" s="187">
        <f>SUMIF($L$3:$L$47,5,$I$3:$I$47)</f>
        <v>0</v>
      </c>
      <c r="T13" s="187">
        <f>SUMIF($L$3:$L$47,6,$I$3:$I$47)</f>
        <v>0</v>
      </c>
      <c r="U13" s="187">
        <f>SUMIF($L$3:$L$47,7,$I$3:$I$47)</f>
        <v>0</v>
      </c>
      <c r="V13" s="187">
        <f>SUMIF($L$3:$L$47,8,$I$3:$I$47)</f>
        <v>0</v>
      </c>
      <c r="W13" s="187">
        <f>SUMIF($L$3:$L$47,9,$I$3:$I$47)</f>
        <v>0</v>
      </c>
      <c r="X13" s="187">
        <f>SUMIF($L$3:$L$47,10,$I$3:$I$47)</f>
        <v>0</v>
      </c>
      <c r="Y13" s="187">
        <f>SUMIF($L$3:$L$47,11,$I$3:$I$47)</f>
        <v>0</v>
      </c>
      <c r="Z13" s="187">
        <f>SUMIF($L$3:$L$47,12,$I$3:$I$47)</f>
        <v>0</v>
      </c>
      <c r="AA13" s="1220">
        <f>SUMIF($L$3:$L$47,0,$I$3:$I$47)</f>
        <v>0</v>
      </c>
      <c r="AB13" s="1221"/>
    </row>
    <row r="14" spans="1:28" ht="13.35" customHeight="1">
      <c r="A14" s="50" t="s">
        <v>5</v>
      </c>
      <c r="B14" s="141"/>
      <c r="C14" s="80"/>
      <c r="D14" s="93"/>
      <c r="E14" s="226"/>
      <c r="F14" s="89"/>
      <c r="G14" s="81"/>
      <c r="H14" s="82"/>
      <c r="I14" s="83" t="str">
        <f t="shared" si="2"/>
        <v/>
      </c>
      <c r="J14" s="361" t="str">
        <f t="shared" si="3"/>
        <v/>
      </c>
      <c r="K14" s="200">
        <v>11</v>
      </c>
      <c r="L14" s="133">
        <f t="shared" si="4"/>
        <v>0</v>
      </c>
      <c r="M14" s="135" t="s">
        <v>5</v>
      </c>
      <c r="O14" s="1299">
        <f>SUM(O13:Z13)</f>
        <v>0</v>
      </c>
      <c r="P14" s="1300"/>
      <c r="Q14" s="1300"/>
      <c r="R14" s="1300"/>
      <c r="S14" s="1300"/>
      <c r="T14" s="1300"/>
      <c r="U14" s="1300"/>
      <c r="V14" s="1300"/>
      <c r="W14" s="1300"/>
      <c r="X14" s="1300"/>
      <c r="Y14" s="1300"/>
      <c r="Z14" s="1301"/>
      <c r="AA14" s="1222">
        <f>SUM(O13:Z13)+AA13</f>
        <v>0</v>
      </c>
      <c r="AB14" s="1223"/>
    </row>
    <row r="15" spans="1:28" ht="13.35" customHeight="1">
      <c r="A15" s="50" t="s">
        <v>5</v>
      </c>
      <c r="B15" s="141"/>
      <c r="C15" s="260"/>
      <c r="D15" s="93"/>
      <c r="E15" s="226"/>
      <c r="F15" s="89"/>
      <c r="G15" s="81"/>
      <c r="H15" s="82"/>
      <c r="I15" s="83" t="str">
        <f t="shared" si="2"/>
        <v/>
      </c>
      <c r="J15" s="361" t="str">
        <f t="shared" si="3"/>
        <v/>
      </c>
      <c r="K15" s="200">
        <v>12</v>
      </c>
      <c r="L15" s="133">
        <f t="shared" si="4"/>
        <v>0</v>
      </c>
      <c r="M15" s="135" t="s">
        <v>5</v>
      </c>
      <c r="O15" s="244"/>
      <c r="P15" s="244"/>
      <c r="Q15" s="244"/>
      <c r="R15" s="244"/>
      <c r="S15" s="244"/>
      <c r="T15" s="244"/>
      <c r="U15" s="244"/>
      <c r="V15" s="244"/>
      <c r="W15" s="244"/>
      <c r="X15" s="244"/>
      <c r="Y15" s="244"/>
      <c r="Z15" s="244"/>
      <c r="AA15" s="244"/>
      <c r="AB15" s="244"/>
    </row>
    <row r="16" spans="1:28" ht="13.35" customHeight="1">
      <c r="A16" s="50" t="s">
        <v>5</v>
      </c>
      <c r="B16" s="141"/>
      <c r="C16" s="80"/>
      <c r="D16" s="93"/>
      <c r="E16" s="226"/>
      <c r="F16" s="89"/>
      <c r="G16" s="81"/>
      <c r="H16" s="82"/>
      <c r="I16" s="83" t="str">
        <f t="shared" si="2"/>
        <v/>
      </c>
      <c r="J16" s="361" t="str">
        <f t="shared" si="3"/>
        <v/>
      </c>
      <c r="K16" s="200">
        <v>13</v>
      </c>
      <c r="L16" s="133">
        <f t="shared" si="4"/>
        <v>0</v>
      </c>
      <c r="M16" s="135" t="s">
        <v>5</v>
      </c>
      <c r="O16" s="244"/>
      <c r="P16" s="244"/>
      <c r="Q16" s="244"/>
      <c r="R16" s="244"/>
      <c r="S16" s="244"/>
      <c r="T16" s="244"/>
      <c r="U16" s="244"/>
      <c r="V16" s="244"/>
      <c r="W16" s="244"/>
      <c r="X16" s="244"/>
      <c r="Y16" s="244"/>
      <c r="Z16" s="244"/>
      <c r="AA16" s="244"/>
      <c r="AB16" s="244"/>
    </row>
    <row r="17" spans="1:28" ht="13.35" customHeight="1">
      <c r="A17" s="50" t="s">
        <v>5</v>
      </c>
      <c r="B17" s="141"/>
      <c r="C17" s="80"/>
      <c r="D17" s="93"/>
      <c r="E17" s="226"/>
      <c r="F17" s="89"/>
      <c r="G17" s="81"/>
      <c r="H17" s="82"/>
      <c r="I17" s="83" t="str">
        <f t="shared" si="2"/>
        <v/>
      </c>
      <c r="J17" s="361" t="str">
        <f t="shared" si="3"/>
        <v/>
      </c>
      <c r="K17" s="200">
        <v>14</v>
      </c>
      <c r="L17" s="133">
        <f t="shared" si="4"/>
        <v>0</v>
      </c>
      <c r="M17" s="135" t="s">
        <v>5</v>
      </c>
      <c r="O17" s="244"/>
      <c r="P17" s="244"/>
      <c r="Q17" s="244"/>
      <c r="R17" s="244"/>
      <c r="S17" s="244"/>
      <c r="T17" s="244"/>
      <c r="U17" s="244"/>
      <c r="V17" s="244"/>
      <c r="W17" s="244"/>
      <c r="X17" s="244"/>
      <c r="Y17" s="244"/>
      <c r="Z17" s="244"/>
      <c r="AA17" s="244"/>
      <c r="AB17" s="244"/>
    </row>
    <row r="18" spans="1:28" ht="13.35" customHeight="1">
      <c r="A18" s="50" t="s">
        <v>5</v>
      </c>
      <c r="B18" s="141"/>
      <c r="C18" s="80"/>
      <c r="D18" s="93"/>
      <c r="E18" s="226"/>
      <c r="F18" s="89"/>
      <c r="G18" s="81"/>
      <c r="H18" s="82"/>
      <c r="I18" s="83" t="str">
        <f t="shared" si="2"/>
        <v/>
      </c>
      <c r="J18" s="361" t="str">
        <f t="shared" si="3"/>
        <v/>
      </c>
      <c r="K18" s="200">
        <v>15</v>
      </c>
      <c r="L18" s="133">
        <f t="shared" si="4"/>
        <v>0</v>
      </c>
      <c r="M18" s="135" t="s">
        <v>5</v>
      </c>
      <c r="O18" s="244"/>
      <c r="P18" s="244"/>
      <c r="Q18" s="244"/>
      <c r="R18" s="244"/>
      <c r="S18" s="244"/>
      <c r="T18" s="244"/>
      <c r="U18" s="244"/>
      <c r="V18" s="244"/>
      <c r="W18" s="244"/>
      <c r="X18" s="244"/>
      <c r="Y18" s="244"/>
      <c r="Z18" s="244"/>
      <c r="AA18" s="244"/>
      <c r="AB18" s="244"/>
    </row>
    <row r="19" spans="1:28" ht="13.35" customHeight="1">
      <c r="A19" s="50" t="s">
        <v>5</v>
      </c>
      <c r="B19" s="141"/>
      <c r="C19" s="80"/>
      <c r="D19" s="93"/>
      <c r="E19" s="226"/>
      <c r="F19" s="89"/>
      <c r="G19" s="81"/>
      <c r="H19" s="82"/>
      <c r="I19" s="83" t="str">
        <f t="shared" si="2"/>
        <v/>
      </c>
      <c r="J19" s="361" t="str">
        <f t="shared" si="3"/>
        <v/>
      </c>
      <c r="K19" s="200">
        <v>16</v>
      </c>
      <c r="L19" s="133">
        <f t="shared" si="4"/>
        <v>0</v>
      </c>
      <c r="M19" s="135" t="s">
        <v>5</v>
      </c>
      <c r="O19" s="244"/>
      <c r="P19" s="244"/>
      <c r="Q19" s="244"/>
      <c r="R19" s="244"/>
      <c r="S19" s="244"/>
      <c r="T19" s="244"/>
      <c r="U19" s="244"/>
      <c r="V19" s="244"/>
      <c r="W19" s="244"/>
      <c r="X19" s="244"/>
      <c r="Y19" s="244"/>
      <c r="Z19" s="244"/>
      <c r="AA19" s="244"/>
      <c r="AB19" s="244"/>
    </row>
    <row r="20" spans="1:28" ht="13.35" customHeight="1">
      <c r="A20" s="50" t="s">
        <v>5</v>
      </c>
      <c r="B20" s="141"/>
      <c r="C20" s="80"/>
      <c r="D20" s="93"/>
      <c r="E20" s="226"/>
      <c r="F20" s="89"/>
      <c r="G20" s="81"/>
      <c r="H20" s="82"/>
      <c r="I20" s="83" t="str">
        <f t="shared" si="2"/>
        <v/>
      </c>
      <c r="J20" s="361" t="str">
        <f t="shared" si="3"/>
        <v/>
      </c>
      <c r="K20" s="200">
        <v>17</v>
      </c>
      <c r="L20" s="133">
        <f t="shared" si="4"/>
        <v>0</v>
      </c>
      <c r="M20" s="135" t="s">
        <v>5</v>
      </c>
      <c r="O20" s="244"/>
      <c r="P20" s="244"/>
      <c r="Q20" s="244"/>
      <c r="R20" s="244"/>
      <c r="S20" s="244"/>
      <c r="T20" s="244"/>
      <c r="U20" s="244"/>
      <c r="V20" s="244"/>
      <c r="W20" s="244"/>
      <c r="X20" s="244"/>
      <c r="Y20" s="244"/>
      <c r="Z20" s="244"/>
      <c r="AA20" s="244"/>
      <c r="AB20" s="244"/>
    </row>
    <row r="21" spans="1:28" ht="13.35" customHeight="1">
      <c r="A21" s="50" t="s">
        <v>5</v>
      </c>
      <c r="B21" s="141"/>
      <c r="C21" s="80"/>
      <c r="D21" s="93"/>
      <c r="E21" s="226"/>
      <c r="F21" s="89"/>
      <c r="G21" s="81"/>
      <c r="H21" s="82"/>
      <c r="I21" s="83" t="str">
        <f t="shared" si="2"/>
        <v/>
      </c>
      <c r="J21" s="361" t="str">
        <f t="shared" si="3"/>
        <v/>
      </c>
      <c r="K21" s="200">
        <v>18</v>
      </c>
      <c r="L21" s="133">
        <f t="shared" si="4"/>
        <v>0</v>
      </c>
      <c r="M21" s="135" t="s">
        <v>5</v>
      </c>
      <c r="O21" s="244"/>
      <c r="P21" s="244"/>
      <c r="Q21" s="244"/>
      <c r="R21" s="244"/>
      <c r="S21" s="244"/>
      <c r="T21" s="244"/>
      <c r="U21" s="244"/>
      <c r="V21" s="244"/>
      <c r="W21" s="244"/>
      <c r="X21" s="244"/>
      <c r="Y21" s="244"/>
      <c r="Z21" s="244"/>
      <c r="AA21" s="244"/>
      <c r="AB21" s="244"/>
    </row>
    <row r="22" spans="1:28" ht="13.35" customHeight="1">
      <c r="A22" s="50" t="s">
        <v>5</v>
      </c>
      <c r="B22" s="141"/>
      <c r="C22" s="80"/>
      <c r="D22" s="93"/>
      <c r="E22" s="226"/>
      <c r="F22" s="89"/>
      <c r="G22" s="81"/>
      <c r="H22" s="82"/>
      <c r="I22" s="83" t="str">
        <f t="shared" si="2"/>
        <v/>
      </c>
      <c r="J22" s="361" t="str">
        <f t="shared" si="3"/>
        <v/>
      </c>
      <c r="K22" s="200">
        <v>19</v>
      </c>
      <c r="L22" s="133">
        <f t="shared" si="4"/>
        <v>0</v>
      </c>
      <c r="M22" s="135" t="s">
        <v>5</v>
      </c>
      <c r="O22" s="244"/>
      <c r="P22" s="244"/>
      <c r="Q22" s="244"/>
      <c r="R22" s="244"/>
      <c r="S22" s="244"/>
      <c r="T22" s="244"/>
      <c r="U22" s="244"/>
      <c r="V22" s="244"/>
      <c r="W22" s="244"/>
      <c r="X22" s="244"/>
      <c r="Y22" s="244"/>
      <c r="Z22" s="244"/>
      <c r="AA22" s="244"/>
      <c r="AB22" s="244"/>
    </row>
    <row r="23" spans="1:28" ht="13.35" customHeight="1">
      <c r="A23" s="50" t="s">
        <v>5</v>
      </c>
      <c r="B23" s="141"/>
      <c r="C23" s="80"/>
      <c r="D23" s="94"/>
      <c r="E23" s="226"/>
      <c r="F23" s="89"/>
      <c r="G23" s="81"/>
      <c r="H23" s="82"/>
      <c r="I23" s="83" t="str">
        <f t="shared" si="2"/>
        <v/>
      </c>
      <c r="J23" s="361" t="str">
        <f t="shared" si="3"/>
        <v/>
      </c>
      <c r="K23" s="200">
        <v>20</v>
      </c>
      <c r="L23" s="133">
        <f t="shared" si="4"/>
        <v>0</v>
      </c>
      <c r="M23" s="135" t="s">
        <v>5</v>
      </c>
      <c r="O23" s="244"/>
      <c r="P23" s="244"/>
      <c r="Q23" s="244"/>
      <c r="R23" s="244"/>
      <c r="S23" s="244"/>
      <c r="T23" s="244"/>
      <c r="U23" s="244"/>
      <c r="V23" s="244"/>
      <c r="W23" s="244"/>
      <c r="X23" s="244"/>
      <c r="Y23" s="244"/>
      <c r="Z23" s="244"/>
      <c r="AA23" s="244"/>
      <c r="AB23" s="244"/>
    </row>
    <row r="24" spans="1:28" ht="13.35" customHeight="1">
      <c r="A24" s="50" t="s">
        <v>5</v>
      </c>
      <c r="B24" s="141"/>
      <c r="C24" s="80"/>
      <c r="D24" s="93"/>
      <c r="E24" s="226"/>
      <c r="F24" s="89"/>
      <c r="G24" s="81"/>
      <c r="H24" s="82"/>
      <c r="I24" s="83" t="str">
        <f t="shared" si="2"/>
        <v/>
      </c>
      <c r="J24" s="361" t="str">
        <f t="shared" si="3"/>
        <v/>
      </c>
      <c r="K24" s="200">
        <v>21</v>
      </c>
      <c r="L24" s="133">
        <f t="shared" si="4"/>
        <v>0</v>
      </c>
      <c r="M24" s="135" t="s">
        <v>5</v>
      </c>
      <c r="O24" s="244"/>
      <c r="P24" s="244"/>
      <c r="Q24" s="244"/>
      <c r="R24" s="244"/>
      <c r="S24" s="244"/>
      <c r="T24" s="244"/>
      <c r="U24" s="244"/>
      <c r="V24" s="244"/>
      <c r="W24" s="244"/>
      <c r="X24" s="244"/>
      <c r="Y24" s="244"/>
      <c r="Z24" s="244"/>
      <c r="AA24" s="244"/>
      <c r="AB24" s="244"/>
    </row>
    <row r="25" spans="1:28" ht="13.35" customHeight="1">
      <c r="A25" s="50" t="s">
        <v>5</v>
      </c>
      <c r="B25" s="141"/>
      <c r="C25" s="80"/>
      <c r="D25" s="93"/>
      <c r="E25" s="226"/>
      <c r="F25" s="89"/>
      <c r="G25" s="81"/>
      <c r="H25" s="82"/>
      <c r="I25" s="83" t="str">
        <f t="shared" si="2"/>
        <v/>
      </c>
      <c r="J25" s="361" t="str">
        <f t="shared" si="3"/>
        <v/>
      </c>
      <c r="K25" s="200">
        <v>22</v>
      </c>
      <c r="L25" s="133">
        <f t="shared" si="4"/>
        <v>0</v>
      </c>
      <c r="M25" s="135" t="s">
        <v>5</v>
      </c>
      <c r="O25" s="244"/>
      <c r="P25" s="244"/>
      <c r="Q25" s="244"/>
      <c r="R25" s="244"/>
      <c r="S25" s="244"/>
      <c r="T25" s="244"/>
      <c r="U25" s="244"/>
      <c r="V25" s="244"/>
      <c r="W25" s="244"/>
      <c r="X25" s="244"/>
      <c r="Y25" s="244"/>
      <c r="Z25" s="244"/>
      <c r="AA25" s="244"/>
      <c r="AB25" s="244"/>
    </row>
    <row r="26" spans="1:28" ht="13.35" customHeight="1">
      <c r="A26" s="50" t="s">
        <v>5</v>
      </c>
      <c r="B26" s="141"/>
      <c r="C26" s="80"/>
      <c r="D26" s="93"/>
      <c r="E26" s="226"/>
      <c r="F26" s="89"/>
      <c r="G26" s="81"/>
      <c r="H26" s="82"/>
      <c r="I26" s="83" t="str">
        <f t="shared" si="2"/>
        <v/>
      </c>
      <c r="J26" s="361" t="str">
        <f t="shared" si="3"/>
        <v/>
      </c>
      <c r="K26" s="200">
        <v>23</v>
      </c>
      <c r="L26" s="133">
        <f t="shared" si="4"/>
        <v>0</v>
      </c>
      <c r="M26" s="135" t="s">
        <v>5</v>
      </c>
      <c r="O26" s="244"/>
      <c r="P26" s="244"/>
      <c r="Q26" s="244"/>
      <c r="R26" s="244"/>
      <c r="S26" s="244"/>
      <c r="T26" s="244"/>
      <c r="U26" s="244"/>
      <c r="V26" s="244"/>
      <c r="W26" s="244"/>
      <c r="X26" s="244"/>
      <c r="Y26" s="244"/>
      <c r="Z26" s="244"/>
      <c r="AA26" s="244"/>
      <c r="AB26" s="244"/>
    </row>
    <row r="27" spans="1:28" ht="13.35" customHeight="1">
      <c r="A27" s="50" t="s">
        <v>5</v>
      </c>
      <c r="B27" s="141"/>
      <c r="C27" s="80"/>
      <c r="D27" s="93"/>
      <c r="E27" s="226"/>
      <c r="F27" s="89"/>
      <c r="G27" s="81"/>
      <c r="H27" s="82"/>
      <c r="I27" s="83" t="str">
        <f t="shared" si="2"/>
        <v/>
      </c>
      <c r="J27" s="361" t="str">
        <f t="shared" si="3"/>
        <v/>
      </c>
      <c r="K27" s="200">
        <v>24</v>
      </c>
      <c r="L27" s="133">
        <f t="shared" si="4"/>
        <v>0</v>
      </c>
      <c r="M27" s="135" t="s">
        <v>5</v>
      </c>
      <c r="O27" s="244"/>
      <c r="P27" s="244"/>
      <c r="Q27" s="244"/>
      <c r="R27" s="244"/>
      <c r="S27" s="244"/>
      <c r="T27" s="244"/>
      <c r="U27" s="244"/>
      <c r="V27" s="244"/>
      <c r="W27" s="244"/>
      <c r="X27" s="244"/>
      <c r="Y27" s="244"/>
      <c r="Z27" s="244"/>
      <c r="AA27" s="244"/>
      <c r="AB27" s="244"/>
    </row>
    <row r="28" spans="1:28" ht="13.35" customHeight="1">
      <c r="A28" s="50" t="s">
        <v>5</v>
      </c>
      <c r="B28" s="141"/>
      <c r="C28" s="80"/>
      <c r="D28" s="93"/>
      <c r="E28" s="226"/>
      <c r="F28" s="89"/>
      <c r="G28" s="81"/>
      <c r="H28" s="82"/>
      <c r="I28" s="83" t="str">
        <f t="shared" si="2"/>
        <v/>
      </c>
      <c r="J28" s="361" t="str">
        <f t="shared" si="3"/>
        <v/>
      </c>
      <c r="K28" s="200">
        <v>25</v>
      </c>
      <c r="L28" s="133">
        <f t="shared" si="4"/>
        <v>0</v>
      </c>
      <c r="M28" s="135" t="s">
        <v>5</v>
      </c>
      <c r="O28" s="244"/>
      <c r="P28" s="244"/>
      <c r="Q28" s="244"/>
      <c r="R28" s="244"/>
      <c r="S28" s="244"/>
      <c r="T28" s="244"/>
      <c r="U28" s="244"/>
      <c r="V28" s="244"/>
      <c r="W28" s="244"/>
      <c r="X28" s="244"/>
      <c r="Y28" s="244"/>
      <c r="Z28" s="244"/>
      <c r="AA28" s="244"/>
      <c r="AB28" s="244"/>
    </row>
    <row r="29" spans="1:28" ht="13.35" customHeight="1">
      <c r="A29" s="50" t="s">
        <v>5</v>
      </c>
      <c r="B29" s="141"/>
      <c r="C29" s="80"/>
      <c r="D29" s="93"/>
      <c r="E29" s="226"/>
      <c r="F29" s="89"/>
      <c r="G29" s="81"/>
      <c r="H29" s="82"/>
      <c r="I29" s="83" t="str">
        <f t="shared" si="2"/>
        <v/>
      </c>
      <c r="J29" s="361" t="str">
        <f t="shared" si="3"/>
        <v/>
      </c>
      <c r="K29" s="200">
        <v>26</v>
      </c>
      <c r="L29" s="133">
        <f t="shared" si="4"/>
        <v>0</v>
      </c>
      <c r="M29" s="135" t="s">
        <v>5</v>
      </c>
      <c r="O29" s="244"/>
      <c r="P29" s="244"/>
      <c r="Q29" s="244"/>
      <c r="R29" s="244"/>
      <c r="S29" s="244"/>
      <c r="T29" s="244"/>
      <c r="U29" s="244"/>
      <c r="V29" s="244"/>
      <c r="W29" s="244"/>
      <c r="X29" s="244"/>
      <c r="Y29" s="244"/>
      <c r="Z29" s="244"/>
      <c r="AA29" s="244"/>
      <c r="AB29" s="244"/>
    </row>
    <row r="30" spans="1:28" ht="13.35" customHeight="1">
      <c r="A30" s="50" t="s">
        <v>5</v>
      </c>
      <c r="B30" s="141"/>
      <c r="C30" s="80"/>
      <c r="D30" s="93"/>
      <c r="E30" s="226"/>
      <c r="F30" s="89"/>
      <c r="G30" s="81"/>
      <c r="H30" s="82"/>
      <c r="I30" s="83" t="str">
        <f t="shared" si="2"/>
        <v/>
      </c>
      <c r="J30" s="361" t="str">
        <f t="shared" si="3"/>
        <v/>
      </c>
      <c r="K30" s="200">
        <v>27</v>
      </c>
      <c r="L30" s="133">
        <f t="shared" si="4"/>
        <v>0</v>
      </c>
      <c r="M30" s="135" t="s">
        <v>5</v>
      </c>
      <c r="O30" s="244"/>
      <c r="P30" s="244"/>
      <c r="Q30" s="244"/>
      <c r="R30" s="244"/>
      <c r="S30" s="244"/>
      <c r="T30" s="244"/>
      <c r="U30" s="244"/>
      <c r="V30" s="244"/>
      <c r="W30" s="244"/>
      <c r="X30" s="244"/>
      <c r="Y30" s="244"/>
      <c r="Z30" s="244"/>
      <c r="AA30" s="244"/>
      <c r="AB30" s="244"/>
    </row>
    <row r="31" spans="1:28" ht="13.35" customHeight="1">
      <c r="A31" s="50" t="s">
        <v>5</v>
      </c>
      <c r="B31" s="141"/>
      <c r="C31" s="80"/>
      <c r="D31" s="93"/>
      <c r="E31" s="226"/>
      <c r="F31" s="89"/>
      <c r="G31" s="81"/>
      <c r="H31" s="82"/>
      <c r="I31" s="83" t="str">
        <f t="shared" si="2"/>
        <v/>
      </c>
      <c r="J31" s="361" t="str">
        <f t="shared" si="3"/>
        <v/>
      </c>
      <c r="K31" s="200">
        <v>28</v>
      </c>
      <c r="L31" s="133">
        <f t="shared" si="4"/>
        <v>0</v>
      </c>
      <c r="M31" s="135" t="s">
        <v>5</v>
      </c>
      <c r="O31" s="244"/>
      <c r="P31" s="244"/>
      <c r="Q31" s="244"/>
      <c r="R31" s="244"/>
      <c r="S31" s="244"/>
      <c r="T31" s="244"/>
      <c r="U31" s="244"/>
      <c r="V31" s="244"/>
      <c r="W31" s="244"/>
      <c r="X31" s="244"/>
      <c r="Y31" s="244"/>
      <c r="Z31" s="244"/>
      <c r="AA31" s="244"/>
      <c r="AB31" s="244"/>
    </row>
    <row r="32" spans="1:28" ht="13.35" customHeight="1">
      <c r="A32" s="50" t="s">
        <v>5</v>
      </c>
      <c r="B32" s="141"/>
      <c r="C32" s="80"/>
      <c r="D32" s="93"/>
      <c r="E32" s="226"/>
      <c r="F32" s="89"/>
      <c r="G32" s="81"/>
      <c r="H32" s="82"/>
      <c r="I32" s="83" t="str">
        <f t="shared" si="2"/>
        <v/>
      </c>
      <c r="J32" s="361" t="str">
        <f t="shared" si="3"/>
        <v/>
      </c>
      <c r="K32" s="200">
        <v>29</v>
      </c>
      <c r="L32" s="133">
        <f t="shared" si="4"/>
        <v>0</v>
      </c>
      <c r="M32" s="135" t="s">
        <v>5</v>
      </c>
      <c r="O32" s="244"/>
      <c r="P32" s="244"/>
      <c r="Q32" s="244"/>
      <c r="R32" s="244"/>
      <c r="S32" s="244"/>
      <c r="T32" s="244"/>
      <c r="U32" s="244"/>
      <c r="V32" s="244"/>
      <c r="W32" s="244"/>
      <c r="X32" s="244"/>
      <c r="Y32" s="244"/>
      <c r="Z32" s="244"/>
      <c r="AA32" s="244"/>
      <c r="AB32" s="244"/>
    </row>
    <row r="33" spans="1:28" ht="13.35" customHeight="1">
      <c r="A33" s="50" t="s">
        <v>5</v>
      </c>
      <c r="B33" s="141"/>
      <c r="C33" s="80"/>
      <c r="D33" s="93"/>
      <c r="E33" s="226"/>
      <c r="F33" s="89"/>
      <c r="G33" s="81"/>
      <c r="H33" s="82"/>
      <c r="I33" s="83" t="str">
        <f t="shared" si="2"/>
        <v/>
      </c>
      <c r="J33" s="361" t="str">
        <f t="shared" si="3"/>
        <v/>
      </c>
      <c r="K33" s="200">
        <v>30</v>
      </c>
      <c r="L33" s="133">
        <f t="shared" si="4"/>
        <v>0</v>
      </c>
      <c r="M33" s="135" t="s">
        <v>5</v>
      </c>
      <c r="O33" s="244"/>
      <c r="P33" s="244"/>
      <c r="Q33" s="244"/>
      <c r="R33" s="244"/>
      <c r="S33" s="244"/>
      <c r="T33" s="244"/>
      <c r="U33" s="244"/>
      <c r="V33" s="244"/>
      <c r="W33" s="244"/>
      <c r="X33" s="244"/>
      <c r="Y33" s="244"/>
      <c r="Z33" s="244"/>
      <c r="AA33" s="244"/>
      <c r="AB33" s="244"/>
    </row>
    <row r="34" spans="1:28" ht="13.35" customHeight="1">
      <c r="A34" s="50" t="s">
        <v>5</v>
      </c>
      <c r="B34" s="141"/>
      <c r="C34" s="80"/>
      <c r="D34" s="93"/>
      <c r="E34" s="226"/>
      <c r="F34" s="89"/>
      <c r="G34" s="81"/>
      <c r="H34" s="82"/>
      <c r="I34" s="83" t="str">
        <f t="shared" si="2"/>
        <v/>
      </c>
      <c r="J34" s="361" t="str">
        <f t="shared" si="3"/>
        <v/>
      </c>
      <c r="K34" s="200">
        <v>31</v>
      </c>
      <c r="L34" s="133">
        <f t="shared" si="4"/>
        <v>0</v>
      </c>
      <c r="M34" s="135" t="s">
        <v>5</v>
      </c>
      <c r="O34" s="244"/>
      <c r="P34" s="244"/>
      <c r="Q34" s="244"/>
      <c r="R34" s="244"/>
      <c r="S34" s="244"/>
      <c r="T34" s="244"/>
      <c r="U34" s="244"/>
      <c r="V34" s="244"/>
      <c r="W34" s="244"/>
      <c r="X34" s="244"/>
      <c r="Y34" s="244"/>
      <c r="Z34" s="244"/>
      <c r="AA34" s="244"/>
      <c r="AB34" s="244"/>
    </row>
    <row r="35" spans="1:28" ht="13.35" customHeight="1">
      <c r="A35" s="50" t="s">
        <v>5</v>
      </c>
      <c r="B35" s="141"/>
      <c r="C35" s="80"/>
      <c r="D35" s="93"/>
      <c r="E35" s="226"/>
      <c r="F35" s="89"/>
      <c r="G35" s="81"/>
      <c r="H35" s="82"/>
      <c r="I35" s="83" t="str">
        <f t="shared" si="2"/>
        <v/>
      </c>
      <c r="J35" s="361" t="str">
        <f t="shared" si="3"/>
        <v/>
      </c>
      <c r="K35" s="200">
        <v>32</v>
      </c>
      <c r="L35" s="133">
        <f t="shared" si="4"/>
        <v>0</v>
      </c>
      <c r="M35" s="135" t="s">
        <v>5</v>
      </c>
      <c r="O35" s="244"/>
      <c r="P35" s="244"/>
      <c r="Q35" s="244"/>
      <c r="R35" s="244"/>
      <c r="S35" s="244"/>
      <c r="T35" s="244"/>
      <c r="U35" s="244"/>
      <c r="V35" s="244"/>
      <c r="W35" s="244"/>
      <c r="X35" s="244"/>
      <c r="Y35" s="244"/>
      <c r="Z35" s="244"/>
      <c r="AA35" s="244"/>
      <c r="AB35" s="244"/>
    </row>
    <row r="36" spans="1:28" ht="13.35" customHeight="1">
      <c r="A36" s="50" t="s">
        <v>5</v>
      </c>
      <c r="B36" s="141"/>
      <c r="C36" s="80"/>
      <c r="D36" s="93"/>
      <c r="E36" s="226"/>
      <c r="F36" s="89"/>
      <c r="G36" s="81"/>
      <c r="H36" s="82"/>
      <c r="I36" s="83" t="str">
        <f t="shared" si="2"/>
        <v/>
      </c>
      <c r="J36" s="361" t="str">
        <f t="shared" si="3"/>
        <v/>
      </c>
      <c r="K36" s="200">
        <v>33</v>
      </c>
      <c r="L36" s="133">
        <f t="shared" si="4"/>
        <v>0</v>
      </c>
      <c r="M36" s="135" t="s">
        <v>5</v>
      </c>
      <c r="O36" s="244"/>
      <c r="P36" s="244"/>
      <c r="Q36" s="244"/>
      <c r="R36" s="244"/>
      <c r="S36" s="244"/>
      <c r="T36" s="244"/>
      <c r="U36" s="244"/>
      <c r="V36" s="244"/>
      <c r="W36" s="244"/>
      <c r="X36" s="244"/>
      <c r="Y36" s="244"/>
      <c r="Z36" s="244"/>
      <c r="AA36" s="244"/>
      <c r="AB36" s="244"/>
    </row>
    <row r="37" spans="1:28" ht="13.35" customHeight="1">
      <c r="A37" s="50" t="s">
        <v>5</v>
      </c>
      <c r="B37" s="141"/>
      <c r="C37" s="80"/>
      <c r="D37" s="93"/>
      <c r="E37" s="226"/>
      <c r="F37" s="89"/>
      <c r="G37" s="81"/>
      <c r="H37" s="82"/>
      <c r="I37" s="83" t="str">
        <f t="shared" si="2"/>
        <v/>
      </c>
      <c r="J37" s="361" t="str">
        <f t="shared" si="3"/>
        <v/>
      </c>
      <c r="K37" s="200">
        <v>34</v>
      </c>
      <c r="L37" s="133">
        <f t="shared" si="4"/>
        <v>0</v>
      </c>
      <c r="M37" s="135" t="s">
        <v>5</v>
      </c>
      <c r="O37" s="244"/>
      <c r="P37" s="244"/>
      <c r="Q37" s="244"/>
      <c r="R37" s="244"/>
      <c r="S37" s="244"/>
      <c r="T37" s="244"/>
      <c r="U37" s="244"/>
      <c r="V37" s="244"/>
      <c r="W37" s="244"/>
      <c r="X37" s="244"/>
      <c r="Y37" s="244"/>
      <c r="Z37" s="244"/>
      <c r="AA37" s="244"/>
      <c r="AB37" s="244"/>
    </row>
    <row r="38" spans="1:28" ht="13.35" customHeight="1">
      <c r="A38" s="50" t="s">
        <v>5</v>
      </c>
      <c r="B38" s="141"/>
      <c r="C38" s="80"/>
      <c r="D38" s="93"/>
      <c r="E38" s="226"/>
      <c r="F38" s="89"/>
      <c r="G38" s="81"/>
      <c r="H38" s="82"/>
      <c r="I38" s="83" t="str">
        <f t="shared" si="2"/>
        <v/>
      </c>
      <c r="J38" s="361" t="str">
        <f t="shared" si="3"/>
        <v/>
      </c>
      <c r="K38" s="200">
        <v>35</v>
      </c>
      <c r="L38" s="133">
        <f t="shared" si="4"/>
        <v>0</v>
      </c>
      <c r="M38" s="135" t="s">
        <v>5</v>
      </c>
      <c r="O38" s="244"/>
      <c r="P38" s="244"/>
      <c r="Q38" s="244"/>
      <c r="R38" s="244"/>
      <c r="S38" s="244"/>
      <c r="T38" s="244"/>
      <c r="U38" s="244"/>
      <c r="V38" s="244"/>
      <c r="W38" s="244"/>
      <c r="X38" s="244"/>
      <c r="Y38" s="244"/>
      <c r="Z38" s="244"/>
      <c r="AA38" s="244"/>
      <c r="AB38" s="244"/>
    </row>
    <row r="39" spans="1:28" ht="13.35" customHeight="1">
      <c r="A39" s="50" t="s">
        <v>5</v>
      </c>
      <c r="B39" s="141"/>
      <c r="C39" s="80"/>
      <c r="D39" s="93"/>
      <c r="E39" s="226"/>
      <c r="F39" s="89"/>
      <c r="G39" s="81"/>
      <c r="H39" s="82"/>
      <c r="I39" s="83" t="str">
        <f t="shared" si="2"/>
        <v/>
      </c>
      <c r="J39" s="361" t="str">
        <f t="shared" si="3"/>
        <v/>
      </c>
      <c r="K39" s="200">
        <v>36</v>
      </c>
      <c r="L39" s="133">
        <f t="shared" si="4"/>
        <v>0</v>
      </c>
      <c r="M39" s="135" t="s">
        <v>5</v>
      </c>
      <c r="O39" s="244"/>
      <c r="P39" s="244"/>
      <c r="Q39" s="244"/>
      <c r="R39" s="244"/>
      <c r="S39" s="244"/>
      <c r="T39" s="244"/>
      <c r="U39" s="244"/>
      <c r="V39" s="244"/>
      <c r="W39" s="244"/>
      <c r="X39" s="244"/>
      <c r="Y39" s="244"/>
      <c r="Z39" s="244"/>
      <c r="AA39" s="244"/>
      <c r="AB39" s="244"/>
    </row>
    <row r="40" spans="1:28" ht="13.35" customHeight="1">
      <c r="A40" s="50" t="s">
        <v>5</v>
      </c>
      <c r="B40" s="141"/>
      <c r="C40" s="80"/>
      <c r="D40" s="93"/>
      <c r="E40" s="226"/>
      <c r="F40" s="89"/>
      <c r="G40" s="81"/>
      <c r="H40" s="82"/>
      <c r="I40" s="83" t="str">
        <f t="shared" si="2"/>
        <v/>
      </c>
      <c r="J40" s="361" t="str">
        <f t="shared" si="3"/>
        <v/>
      </c>
      <c r="K40" s="200">
        <v>37</v>
      </c>
      <c r="L40" s="133">
        <f t="shared" si="4"/>
        <v>0</v>
      </c>
      <c r="M40" s="135" t="s">
        <v>5</v>
      </c>
      <c r="O40" s="244"/>
      <c r="P40" s="244"/>
      <c r="Q40" s="244"/>
      <c r="R40" s="244"/>
      <c r="S40" s="244"/>
      <c r="T40" s="244"/>
      <c r="U40" s="244"/>
      <c r="V40" s="244"/>
      <c r="W40" s="244"/>
      <c r="X40" s="244"/>
      <c r="Y40" s="244"/>
      <c r="Z40" s="244"/>
      <c r="AA40" s="244"/>
      <c r="AB40" s="244"/>
    </row>
    <row r="41" spans="1:28" ht="13.35" customHeight="1">
      <c r="A41" s="50" t="s">
        <v>5</v>
      </c>
      <c r="B41" s="141"/>
      <c r="C41" s="80"/>
      <c r="D41" s="93"/>
      <c r="E41" s="226"/>
      <c r="F41" s="89"/>
      <c r="G41" s="81"/>
      <c r="H41" s="82"/>
      <c r="I41" s="83" t="str">
        <f t="shared" si="2"/>
        <v/>
      </c>
      <c r="J41" s="361" t="str">
        <f t="shared" si="3"/>
        <v/>
      </c>
      <c r="K41" s="200">
        <v>38</v>
      </c>
      <c r="L41" s="133">
        <f t="shared" si="4"/>
        <v>0</v>
      </c>
      <c r="M41" s="135" t="s">
        <v>5</v>
      </c>
      <c r="O41" s="244"/>
      <c r="P41" s="244"/>
      <c r="Q41" s="244"/>
      <c r="R41" s="244"/>
      <c r="S41" s="244"/>
      <c r="T41" s="244"/>
      <c r="U41" s="244"/>
      <c r="V41" s="244"/>
      <c r="W41" s="244"/>
      <c r="X41" s="244"/>
      <c r="Y41" s="244"/>
      <c r="Z41" s="244"/>
      <c r="AA41" s="244"/>
      <c r="AB41" s="244"/>
    </row>
    <row r="42" spans="1:28" ht="13.35" customHeight="1">
      <c r="A42" s="50" t="s">
        <v>5</v>
      </c>
      <c r="B42" s="141"/>
      <c r="C42" s="80"/>
      <c r="D42" s="93"/>
      <c r="E42" s="226"/>
      <c r="F42" s="89"/>
      <c r="G42" s="81"/>
      <c r="H42" s="82"/>
      <c r="I42" s="83" t="str">
        <f t="shared" si="2"/>
        <v/>
      </c>
      <c r="J42" s="361" t="str">
        <f t="shared" si="3"/>
        <v/>
      </c>
      <c r="K42" s="200">
        <v>39</v>
      </c>
      <c r="L42" s="133">
        <f t="shared" si="4"/>
        <v>0</v>
      </c>
      <c r="M42" s="135" t="s">
        <v>5</v>
      </c>
      <c r="O42" s="244"/>
      <c r="P42" s="244"/>
      <c r="Q42" s="244"/>
      <c r="R42" s="244"/>
      <c r="S42" s="244"/>
      <c r="T42" s="244"/>
      <c r="U42" s="244"/>
      <c r="V42" s="244"/>
      <c r="W42" s="244"/>
      <c r="X42" s="244"/>
      <c r="Y42" s="244"/>
      <c r="Z42" s="244"/>
      <c r="AA42" s="244"/>
      <c r="AB42" s="244"/>
    </row>
    <row r="43" spans="1:28" ht="13.35" customHeight="1">
      <c r="A43" s="50" t="s">
        <v>5</v>
      </c>
      <c r="B43" s="141"/>
      <c r="C43" s="80"/>
      <c r="D43" s="93"/>
      <c r="E43" s="226"/>
      <c r="F43" s="89"/>
      <c r="G43" s="81"/>
      <c r="H43" s="82"/>
      <c r="I43" s="83" t="str">
        <f t="shared" si="2"/>
        <v/>
      </c>
      <c r="J43" s="361" t="str">
        <f t="shared" si="3"/>
        <v/>
      </c>
      <c r="K43" s="200">
        <v>40</v>
      </c>
      <c r="L43" s="133">
        <f t="shared" si="4"/>
        <v>0</v>
      </c>
      <c r="M43" s="135" t="s">
        <v>5</v>
      </c>
      <c r="O43" s="244"/>
      <c r="P43" s="244"/>
      <c r="Q43" s="244"/>
      <c r="R43" s="244"/>
      <c r="S43" s="244"/>
      <c r="T43" s="244"/>
      <c r="U43" s="244"/>
      <c r="V43" s="244"/>
      <c r="W43" s="244"/>
      <c r="X43" s="244"/>
      <c r="Y43" s="244"/>
      <c r="Z43" s="244"/>
      <c r="AA43" s="244"/>
      <c r="AB43" s="244"/>
    </row>
    <row r="44" spans="1:28" ht="13.35" customHeight="1">
      <c r="A44" s="50" t="s">
        <v>5</v>
      </c>
      <c r="B44" s="141"/>
      <c r="C44" s="80"/>
      <c r="D44" s="93"/>
      <c r="E44" s="226"/>
      <c r="F44" s="89"/>
      <c r="G44" s="81"/>
      <c r="H44" s="82"/>
      <c r="I44" s="83" t="str">
        <f t="shared" si="2"/>
        <v/>
      </c>
      <c r="J44" s="361" t="str">
        <f t="shared" si="3"/>
        <v/>
      </c>
      <c r="K44" s="200">
        <v>41</v>
      </c>
      <c r="L44" s="133">
        <f t="shared" si="4"/>
        <v>0</v>
      </c>
      <c r="M44" s="135" t="s">
        <v>5</v>
      </c>
      <c r="O44" s="244"/>
      <c r="P44" s="244"/>
      <c r="Q44" s="244"/>
      <c r="R44" s="244"/>
      <c r="S44" s="244"/>
      <c r="T44" s="244"/>
      <c r="U44" s="244"/>
      <c r="V44" s="244"/>
      <c r="W44" s="244"/>
      <c r="X44" s="244"/>
      <c r="Y44" s="244"/>
      <c r="Z44" s="244"/>
      <c r="AA44" s="244"/>
      <c r="AB44" s="244"/>
    </row>
    <row r="45" spans="1:28" ht="13.35" customHeight="1">
      <c r="A45" s="50" t="s">
        <v>5</v>
      </c>
      <c r="B45" s="141"/>
      <c r="C45" s="80"/>
      <c r="D45" s="93"/>
      <c r="E45" s="226"/>
      <c r="F45" s="89"/>
      <c r="G45" s="81"/>
      <c r="H45" s="82"/>
      <c r="I45" s="83" t="str">
        <f t="shared" ref="I45:I46" si="8">IF(G45&lt;&gt;"",+G45-G45/(1+H45/100),"")</f>
        <v/>
      </c>
      <c r="J45" s="361" t="str">
        <f t="shared" ref="J45:J46" si="9">IF(G45&lt;&gt;0,+G45-I45,"")</f>
        <v/>
      </c>
      <c r="K45" s="200">
        <v>44</v>
      </c>
      <c r="L45" s="133">
        <f t="shared" ref="L45:L46" si="10">IF(B45&lt;$O$2,0,IF(B45&lt;$P$2,1,IF(B45&lt;$Q$2,2,IF(B45&lt;$R$2,3,IF(B45&lt;$S$2,4,IF(B45&lt;$T$2,5,IF(B45&lt;$U$2,6,IF(B45&lt;$V$2,7,IF(B45&lt;$W$2,8,IF(B45&lt;$X$2,9,IF(B45&lt;$Y$2,10,IF(B45&lt;$Z$2,11,IF(B45&lt;=$Z$3,12,0)))))))))))))</f>
        <v>0</v>
      </c>
      <c r="M45" s="135" t="s">
        <v>5</v>
      </c>
      <c r="O45" s="244"/>
      <c r="P45" s="244"/>
      <c r="Q45" s="244"/>
      <c r="R45" s="244"/>
      <c r="S45" s="244"/>
      <c r="T45" s="244"/>
      <c r="U45" s="244"/>
      <c r="V45" s="244"/>
      <c r="W45" s="244"/>
      <c r="X45" s="244"/>
      <c r="Y45" s="244"/>
      <c r="Z45" s="244"/>
      <c r="AA45" s="244"/>
      <c r="AB45" s="244"/>
    </row>
    <row r="46" spans="1:28" ht="13.35" customHeight="1" thickBot="1">
      <c r="A46" s="50" t="s">
        <v>5</v>
      </c>
      <c r="B46" s="141"/>
      <c r="C46" s="80"/>
      <c r="D46" s="93"/>
      <c r="E46" s="226"/>
      <c r="F46" s="89"/>
      <c r="G46" s="81"/>
      <c r="H46" s="82"/>
      <c r="I46" s="83" t="str">
        <f t="shared" si="8"/>
        <v/>
      </c>
      <c r="J46" s="361" t="str">
        <f t="shared" si="9"/>
        <v/>
      </c>
      <c r="K46" s="200">
        <v>45</v>
      </c>
      <c r="L46" s="133">
        <f t="shared" si="10"/>
        <v>0</v>
      </c>
      <c r="M46" s="135" t="s">
        <v>5</v>
      </c>
      <c r="O46" s="244"/>
      <c r="P46" s="244"/>
      <c r="Q46" s="244"/>
      <c r="R46" s="244"/>
      <c r="S46" s="244"/>
      <c r="T46" s="244"/>
      <c r="U46" s="244"/>
      <c r="V46" s="244"/>
      <c r="W46" s="244"/>
      <c r="X46" s="244"/>
      <c r="Y46" s="244"/>
      <c r="Z46" s="244"/>
      <c r="AA46" s="244"/>
      <c r="AB46" s="244"/>
    </row>
    <row r="47" spans="1:28" ht="12" customHeight="1" thickTop="1" thickBot="1">
      <c r="A47" s="391" t="s">
        <v>283</v>
      </c>
      <c r="B47" s="1244" t="str">
        <f>IF($A$48=0,"^ Zeile einfügen","bis hierher ziehen!")</f>
        <v>^ Zeile einfügen</v>
      </c>
      <c r="C47" s="1244"/>
      <c r="D47" s="392" t="s">
        <v>5</v>
      </c>
      <c r="E47" s="393" t="s">
        <v>5</v>
      </c>
      <c r="F47" s="394" t="s">
        <v>5</v>
      </c>
      <c r="G47" s="394"/>
      <c r="H47" s="395"/>
      <c r="I47" s="396"/>
      <c r="J47" s="425"/>
      <c r="K47" s="201">
        <v>0</v>
      </c>
      <c r="L47" s="185" t="s">
        <v>5</v>
      </c>
      <c r="M47" s="398" t="s">
        <v>283</v>
      </c>
    </row>
    <row r="48" spans="1:28" ht="12" customHeight="1" thickTop="1" thickBot="1">
      <c r="A48" s="390">
        <f>COUNTBLANK(A3:A47)+A49</f>
        <v>0</v>
      </c>
      <c r="B48" s="193" t="str">
        <f>+EÜR!C44</f>
        <v>ü</v>
      </c>
      <c r="C48" s="194" t="s">
        <v>5</v>
      </c>
      <c r="D48" s="194" t="s">
        <v>5</v>
      </c>
      <c r="E48" s="195" t="s">
        <v>5</v>
      </c>
      <c r="F48" s="196" t="s">
        <v>5</v>
      </c>
      <c r="G48" s="197">
        <f>SUBTOTAL(9,G3:G47)</f>
        <v>0</v>
      </c>
      <c r="H48" s="1242">
        <f>SUBTOTAL(9,I3:I47)</f>
        <v>0</v>
      </c>
      <c r="I48" s="1243">
        <f>SUBTOTAL(9,I3:I47)</f>
        <v>0</v>
      </c>
      <c r="J48" s="1293">
        <f>G48-H48</f>
        <v>0</v>
      </c>
      <c r="K48" s="1294"/>
      <c r="L48" s="1295"/>
      <c r="M48" s="135" t="s">
        <v>5</v>
      </c>
    </row>
    <row r="49" spans="1:14" ht="12" customHeight="1" thickTop="1" thickBot="1">
      <c r="A49" s="390">
        <f>IF(ISERROR(J47),1,0)</f>
        <v>0</v>
      </c>
      <c r="B49" s="192">
        <f>J48-G49-E49-C49</f>
        <v>0</v>
      </c>
      <c r="C49" s="1239">
        <f>SUMIF(F4:F47,"Kreditkarte",G4:G47)</f>
        <v>0</v>
      </c>
      <c r="D49" s="1239"/>
      <c r="E49" s="1240">
        <f>SUMIF(F4:F47,"Konto",G4:G47)</f>
        <v>0</v>
      </c>
      <c r="F49" s="1240"/>
      <c r="G49" s="1241">
        <f>SUMIF(F4:F47,"Geldbeutel",G4:G47)</f>
        <v>0</v>
      </c>
      <c r="H49" s="1241"/>
      <c r="I49" s="1241"/>
      <c r="J49" s="1296"/>
      <c r="K49" s="1297"/>
      <c r="L49" s="1298"/>
      <c r="M49" s="135" t="s">
        <v>5</v>
      </c>
    </row>
    <row r="50" spans="1:14" s="15" customFormat="1" ht="5.25" customHeight="1" thickTop="1">
      <c r="A50" s="36"/>
      <c r="B50" s="2"/>
      <c r="C50" s="3"/>
      <c r="D50" s="3"/>
      <c r="E50" s="1"/>
      <c r="G50" s="16"/>
      <c r="H50" s="16"/>
      <c r="I50" s="17"/>
      <c r="J50" s="18"/>
      <c r="K50" s="18"/>
      <c r="L50" s="31"/>
      <c r="N50" s="148"/>
    </row>
    <row r="51" spans="1:14">
      <c r="A51" s="36"/>
    </row>
  </sheetData>
  <sheetProtection formatCells="0" insertRows="0" deleteRows="0" selectLockedCells="1" sort="0" autoFilter="0"/>
  <mergeCells count="15">
    <mergeCell ref="C2:I2"/>
    <mergeCell ref="J2:L2"/>
    <mergeCell ref="AA9:AB9"/>
    <mergeCell ref="O10:Z10"/>
    <mergeCell ref="O11:Z11"/>
    <mergeCell ref="AA13:AB13"/>
    <mergeCell ref="O14:Z14"/>
    <mergeCell ref="AA14:AB14"/>
    <mergeCell ref="AA4:AB4"/>
    <mergeCell ref="B47:C47"/>
    <mergeCell ref="H48:I48"/>
    <mergeCell ref="J48:L49"/>
    <mergeCell ref="C49:D49"/>
    <mergeCell ref="E49:F49"/>
    <mergeCell ref="G49:I49"/>
  </mergeCells>
  <conditionalFormatting sqref="A4:A46">
    <cfRule type="expression" dxfId="556" priority="17">
      <formula>ISERROR(J4)</formula>
    </cfRule>
    <cfRule type="cellIs" dxfId="555" priority="18" operator="equal">
      <formula>""</formula>
    </cfRule>
  </conditionalFormatting>
  <conditionalFormatting sqref="A47:C47">
    <cfRule type="expression" dxfId="554" priority="8">
      <formula>$A$48&lt;&gt;0</formula>
    </cfRule>
  </conditionalFormatting>
  <conditionalFormatting sqref="B2">
    <cfRule type="expression" dxfId="553" priority="44" stopIfTrue="1">
      <formula>$B$48="x"</formula>
    </cfRule>
  </conditionalFormatting>
  <conditionalFormatting sqref="B4:B46">
    <cfRule type="cellIs" dxfId="550" priority="31" operator="equal">
      <formula>""</formula>
    </cfRule>
  </conditionalFormatting>
  <conditionalFormatting sqref="B48">
    <cfRule type="cellIs" dxfId="549" priority="67" operator="equal">
      <formula>"y"</formula>
    </cfRule>
  </conditionalFormatting>
  <conditionalFormatting sqref="B3:J3">
    <cfRule type="expression" dxfId="548" priority="9662">
      <formula>$B$48="x"</formula>
    </cfRule>
  </conditionalFormatting>
  <conditionalFormatting sqref="B4:J46">
    <cfRule type="expression" dxfId="547" priority="27">
      <formula>$B$1="x"</formula>
    </cfRule>
  </conditionalFormatting>
  <conditionalFormatting sqref="B3:L3">
    <cfRule type="expression" dxfId="546" priority="61">
      <formula>$B$48="x"</formula>
    </cfRule>
  </conditionalFormatting>
  <conditionalFormatting sqref="C4:D46">
    <cfRule type="expression" dxfId="545" priority="34">
      <formula>AND($B4&lt;&gt;"",$C4="")</formula>
    </cfRule>
  </conditionalFormatting>
  <conditionalFormatting sqref="C49:I49">
    <cfRule type="cellIs" dxfId="544" priority="66" stopIfTrue="1" operator="lessThan">
      <formula>0</formula>
    </cfRule>
    <cfRule type="cellIs" dxfId="543" priority="64" stopIfTrue="1" operator="greaterThanOrEqual">
      <formula>0</formula>
    </cfRule>
  </conditionalFormatting>
  <conditionalFormatting sqref="D47:J47">
    <cfRule type="expression" dxfId="542" priority="10">
      <formula>$A$48&lt;&gt;0</formula>
    </cfRule>
  </conditionalFormatting>
  <conditionalFormatting sqref="H4:H46">
    <cfRule type="expression" dxfId="541" priority="30">
      <formula>AND(G4&lt;&gt;"",H4="",$I$1&lt;&gt;"x")</formula>
    </cfRule>
  </conditionalFormatting>
  <conditionalFormatting sqref="H4:I46">
    <cfRule type="expression" dxfId="540" priority="28">
      <formula>AND($I4&lt;&gt;0,$I$1&lt;&gt;"ü")</formula>
    </cfRule>
    <cfRule type="expression" dxfId="539" priority="29">
      <formula>$I$1&lt;&gt;"ü"</formula>
    </cfRule>
  </conditionalFormatting>
  <conditionalFormatting sqref="J48:L48 C49:L49 C48:H48">
    <cfRule type="expression" dxfId="537" priority="63">
      <formula>$B$48="x"</formula>
    </cfRule>
  </conditionalFormatting>
  <conditionalFormatting sqref="J48:L49">
    <cfRule type="expression" dxfId="536" priority="62">
      <formula>AND($B$48="x",$J$48&lt;&gt;0)</formula>
    </cfRule>
  </conditionalFormatting>
  <conditionalFormatting sqref="K4:L46">
    <cfRule type="expression" dxfId="535" priority="15933">
      <formula>$B$48="x"</formula>
    </cfRule>
  </conditionalFormatting>
  <conditionalFormatting sqref="M3">
    <cfRule type="cellIs" dxfId="534" priority="26" operator="equal">
      <formula>""</formula>
    </cfRule>
  </conditionalFormatting>
  <conditionalFormatting sqref="M4:M46">
    <cfRule type="expression" dxfId="533" priority="24">
      <formula>ISERROR(J4)</formula>
    </cfRule>
    <cfRule type="cellIs" dxfId="532" priority="25" operator="equal">
      <formula>""</formula>
    </cfRule>
  </conditionalFormatting>
  <conditionalFormatting sqref="M47">
    <cfRule type="expression" dxfId="531" priority="9">
      <formula>$A$48&lt;&gt;0</formula>
    </cfRule>
  </conditionalFormatting>
  <conditionalFormatting sqref="M47:M49">
    <cfRule type="cellIs" dxfId="530" priority="12" operator="equal">
      <formula>""</formula>
    </cfRule>
  </conditionalFormatting>
  <conditionalFormatting sqref="N10:AB10">
    <cfRule type="expression" dxfId="529" priority="7">
      <formula>$N$2=0</formula>
    </cfRule>
  </conditionalFormatting>
  <conditionalFormatting sqref="O11:Z11">
    <cfRule type="cellIs" dxfId="528" priority="48" operator="equal">
      <formula>"Fehler!"</formula>
    </cfRule>
  </conditionalFormatting>
  <conditionalFormatting sqref="O4:AA4">
    <cfRule type="expression" dxfId="524" priority="43">
      <formula>$N$2=0</formula>
    </cfRule>
  </conditionalFormatting>
  <conditionalFormatting sqref="O2:AB3">
    <cfRule type="expression" dxfId="522" priority="2">
      <formula>$N$2=0</formula>
    </cfRule>
  </conditionalFormatting>
  <conditionalFormatting sqref="O5:AB8 O9:AA9">
    <cfRule type="expression" dxfId="521" priority="47">
      <formula>$N$2=0</formula>
    </cfRule>
  </conditionalFormatting>
  <conditionalFormatting sqref="O11:AB14">
    <cfRule type="expression" dxfId="520" priority="1">
      <formula>$N$2=0</formula>
    </cfRule>
  </conditionalFormatting>
  <conditionalFormatting sqref="O47:AB49">
    <cfRule type="expression" dxfId="519" priority="11">
      <formula>$N$2=0</formula>
    </cfRule>
  </conditionalFormatting>
  <dataValidations count="2">
    <dataValidation type="list" allowBlank="1" showInputMessage="1" showErrorMessage="1" sqref="H4:H46" xr:uid="{D8D5DC0F-32DC-4D0E-8A7F-8F221F613D6F}">
      <formula1>"19,7,0,~"</formula1>
    </dataValidation>
    <dataValidation type="list" allowBlank="1" showInputMessage="1" showErrorMessage="1" sqref="F4:F46" xr:uid="{C9CFA3AE-2CE7-4C1F-8F36-EC298131F393}">
      <formula1>"Konto,Geldbeutel,Kreditkarte,x"</formula1>
    </dataValidation>
  </dataValidations>
  <hyperlinks>
    <hyperlink ref="J2" location="'2022 EÜR'!A1" display="Menü" xr:uid="{13480B9C-F63A-4C6B-9772-ADFCCE017771}"/>
    <hyperlink ref="J2:L2" location="EÜR!A1" display="EÜR" xr:uid="{D044D05F-12C7-4D29-80AC-A386AE5C2D45}"/>
  </hyperlinks>
  <printOptions horizontalCentered="1"/>
  <pageMargins left="0" right="0" top="0" bottom="0.31496062992125984" header="0" footer="0"/>
  <pageSetup paperSize="9" orientation="portrait" r:id="rId1"/>
  <headerFooter>
    <oddFooter>&amp;L&amp;"Arial,Standard"&amp;8Datei: &amp;Z&amp;F/&amp;A&amp;C&amp;"Arial,Standard"&amp;8Seite &amp;P von &amp;N&amp;R&amp;"Arial,Standard"&amp;8Druck: &amp;D&amp;T Uhr</oddFooter>
  </headerFooter>
  <extLst>
    <ext xmlns:x14="http://schemas.microsoft.com/office/spreadsheetml/2009/9/main" uri="{78C0D931-6437-407d-A8EE-F0AAD7539E65}">
      <x14:conditionalFormattings>
        <x14:conditionalFormatting xmlns:xm="http://schemas.microsoft.com/office/excel/2006/main">
          <x14:cfRule type="cellIs" priority="32" operator="greaterThan" id="{25650C7E-555D-4E1A-942C-694A45E823AB}">
            <xm:f>EÜR!$I$78</xm:f>
            <x14:dxf>
              <font>
                <b/>
                <i val="0"/>
                <color rgb="FFFFFF00"/>
              </font>
              <fill>
                <patternFill>
                  <bgColor rgb="FFC00000"/>
                </patternFill>
              </fill>
            </x14:dxf>
          </x14:cfRule>
          <x14:cfRule type="cellIs" priority="33" operator="lessThan" id="{C3014002-A551-49C1-B527-8F143B823232}">
            <xm:f>EÜR!$I$77</xm:f>
            <x14:dxf>
              <font>
                <b/>
                <i val="0"/>
                <color rgb="FFFFFF00"/>
              </font>
              <fill>
                <patternFill>
                  <bgColor rgb="FFC00000"/>
                </patternFill>
              </fill>
            </x14:dxf>
          </x14:cfRule>
          <xm:sqref>B4:B46</xm:sqref>
        </x14:conditionalFormatting>
        <x14:conditionalFormatting xmlns:xm="http://schemas.microsoft.com/office/excel/2006/main">
          <x14:cfRule type="expression" priority="45" id="{CD9098CA-3215-4DA6-A3C2-00E4578CEA31}">
            <xm:f>AND(EÜR!$J$66&lt;&gt;"ü",$H$48&lt;&gt;0)</xm:f>
            <x14:dxf>
              <font>
                <b/>
                <i val="0"/>
                <color rgb="FFFFFF00"/>
              </font>
              <fill>
                <patternFill>
                  <bgColor rgb="FFFF0000"/>
                </patternFill>
              </fill>
            </x14:dxf>
          </x14:cfRule>
          <xm:sqref>H48:I48</xm:sqref>
        </x14:conditionalFormatting>
        <x14:conditionalFormatting xmlns:xm="http://schemas.microsoft.com/office/excel/2006/main">
          <x14:cfRule type="expression" priority="49" id="{245171EC-B0E7-4FC4-86D1-59F13226300F}">
            <xm:f>AND(O13&lt;&gt;0,U!L36="!",U!L37="!")</xm:f>
            <x14:dxf>
              <font>
                <b/>
                <i val="0"/>
                <color rgb="FFFF0000"/>
              </font>
              <fill>
                <patternFill>
                  <bgColor rgb="FFFFCCCC"/>
                </patternFill>
              </fill>
            </x14:dxf>
          </x14:cfRule>
          <x14:cfRule type="expression" priority="50" id="{FD3678A6-2A5F-4755-B6A7-979E095A9B18}">
            <xm:f>U!L37&lt;&gt;"!"</xm:f>
            <x14:dxf>
              <font>
                <b/>
                <i val="0"/>
                <color rgb="FF006666"/>
              </font>
              <fill>
                <patternFill>
                  <bgColor theme="6" tint="0.39994506668294322"/>
                </patternFill>
              </fill>
            </x14:dxf>
          </x14:cfRule>
          <x14:cfRule type="expression" priority="51" id="{9E2D65B9-69C6-494E-AC3C-99E66E72ACFA}">
            <xm:f>U!L36&lt;&gt;"!"</xm:f>
            <x14:dxf>
              <font>
                <b/>
                <i val="0"/>
                <color theme="9" tint="-0.499984740745262"/>
              </font>
              <fill>
                <patternFill>
                  <bgColor rgb="FFFFFF99"/>
                </patternFill>
              </fill>
            </x14:dxf>
          </x14:cfRule>
          <xm:sqref>O13:Z13</xm:sqref>
        </x14:conditionalFormatting>
        <x14:conditionalFormatting xmlns:xm="http://schemas.microsoft.com/office/excel/2006/main">
          <x14:cfRule type="expression" priority="3" id="{15A9E8B5-DBB6-48DC-88E6-B9709D10C339}">
            <xm:f>EÜR!$J$66="-"</xm:f>
            <x14:dxf>
              <font>
                <b/>
                <i val="0"/>
                <color theme="0"/>
              </font>
              <fill>
                <patternFill>
                  <bgColor theme="0"/>
                </patternFill>
              </fill>
              <border>
                <left/>
                <right/>
                <top/>
                <bottom/>
              </border>
            </x14:dxf>
          </x14:cfRule>
          <xm:sqref>O12:AA14</xm:sqref>
        </x14:conditionalFormatting>
      </x14:conditionalFormattings>
    </ext>
  </extLst>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703826-58BF-45BA-9811-237845E408B7}">
  <sheetPr codeName="Tabelle33">
    <tabColor theme="9" tint="0.39997558519241921"/>
    <pageSetUpPr autoPageBreaks="0"/>
  </sheetPr>
  <dimension ref="A1:AB51"/>
  <sheetViews>
    <sheetView showGridLines="0" showRowColHeaders="0" zoomScaleNormal="100" workbookViewId="0">
      <pane ySplit="3" topLeftCell="A4" activePane="bottomLeft" state="frozen"/>
      <selection activeCell="F4" sqref="F4:F46"/>
      <selection pane="bottomLeft" activeCell="A4" sqref="A4"/>
    </sheetView>
  </sheetViews>
  <sheetFormatPr baseColWidth="10" defaultColWidth="9.77734375" defaultRowHeight="12.75"/>
  <cols>
    <col min="1" max="1" width="0.77734375" style="12" customWidth="1"/>
    <col min="2" max="2" width="7.6640625" style="30" customWidth="1"/>
    <col min="3" max="3" width="21.6640625" style="24" customWidth="1"/>
    <col min="4" max="4" width="7.6640625" style="24" customWidth="1"/>
    <col min="5" max="5" width="6.6640625" style="25" customWidth="1"/>
    <col min="6" max="6" width="9.6640625" style="26" customWidth="1"/>
    <col min="7" max="7" width="9.6640625" style="27" customWidth="1"/>
    <col min="8" max="8" width="2.6640625" style="28" customWidth="1"/>
    <col min="9" max="9" width="6.6640625" style="29" customWidth="1"/>
    <col min="10" max="10" width="9.6640625" style="27" customWidth="1"/>
    <col min="11" max="11" width="2.5546875" style="27" hidden="1" customWidth="1"/>
    <col min="12" max="12" width="1.5546875" style="32" hidden="1" customWidth="1"/>
    <col min="13" max="13" width="0.77734375" style="13" customWidth="1"/>
    <col min="14" max="14" width="1.77734375" style="147" customWidth="1"/>
    <col min="15" max="26" width="8.77734375" style="13" customWidth="1"/>
    <col min="27" max="27" width="10.33203125" style="13" customWidth="1"/>
    <col min="28" max="28" width="8.33203125" style="13" customWidth="1"/>
    <col min="29" max="16384" width="9.77734375" style="13"/>
  </cols>
  <sheetData>
    <row r="1" spans="1:28" s="37" customFormat="1" ht="3" customHeight="1" thickBot="1">
      <c r="A1" s="36"/>
      <c r="B1" s="53" t="str">
        <f>+B48</f>
        <v>ü</v>
      </c>
      <c r="C1" s="54">
        <f>+C49</f>
        <v>0</v>
      </c>
      <c r="D1" s="54"/>
      <c r="E1" s="53">
        <f>+E49</f>
        <v>0</v>
      </c>
      <c r="F1" s="53"/>
      <c r="G1" s="54">
        <f>+G49</f>
        <v>0</v>
      </c>
      <c r="H1" s="53"/>
      <c r="I1" s="338" t="str">
        <f>+EÜR!J66</f>
        <v>-</v>
      </c>
      <c r="J1" s="54">
        <f>+J48</f>
        <v>0</v>
      </c>
      <c r="K1" s="198"/>
      <c r="L1" s="56"/>
      <c r="N1" s="190"/>
    </row>
    <row r="2" spans="1:28" ht="23.1" customHeight="1" thickTop="1" thickBot="1">
      <c r="A2" s="36"/>
      <c r="B2" s="296" t="str">
        <f>+EÜR!D45</f>
        <v>A24</v>
      </c>
      <c r="C2" s="1290" t="str">
        <f>+EÜR!F45</f>
        <v>abziehbare Bewirtung</v>
      </c>
      <c r="D2" s="1291"/>
      <c r="E2" s="1291"/>
      <c r="F2" s="1291"/>
      <c r="G2" s="1291"/>
      <c r="H2" s="1291"/>
      <c r="I2" s="1292"/>
      <c r="J2" s="1227" t="s">
        <v>8</v>
      </c>
      <c r="K2" s="1228"/>
      <c r="L2" s="1229"/>
      <c r="M2" s="134"/>
      <c r="N2" s="190">
        <f>IF(OR(B48="x",N3=1),0,1)</f>
        <v>1</v>
      </c>
      <c r="O2" s="188">
        <f>+EOMONTH(EÜR!$I$3,-1)+1</f>
        <v>46023</v>
      </c>
      <c r="P2" s="188">
        <f t="shared" ref="P2:Z2" si="0">+O3+1</f>
        <v>46054</v>
      </c>
      <c r="Q2" s="188">
        <f t="shared" si="0"/>
        <v>46082</v>
      </c>
      <c r="R2" s="188">
        <f t="shared" si="0"/>
        <v>46113</v>
      </c>
      <c r="S2" s="188">
        <f t="shared" si="0"/>
        <v>46143</v>
      </c>
      <c r="T2" s="188">
        <f t="shared" si="0"/>
        <v>46174</v>
      </c>
      <c r="U2" s="188">
        <f t="shared" si="0"/>
        <v>46204</v>
      </c>
      <c r="V2" s="188">
        <f t="shared" si="0"/>
        <v>46235</v>
      </c>
      <c r="W2" s="188">
        <f t="shared" si="0"/>
        <v>46266</v>
      </c>
      <c r="X2" s="188">
        <f t="shared" si="0"/>
        <v>46296</v>
      </c>
      <c r="Y2" s="188">
        <f t="shared" si="0"/>
        <v>46327</v>
      </c>
      <c r="Z2" s="188">
        <f t="shared" si="0"/>
        <v>46357</v>
      </c>
      <c r="AA2" s="48"/>
    </row>
    <row r="3" spans="1:28" ht="14.25" customHeight="1" thickTop="1">
      <c r="A3" s="36" t="s">
        <v>5</v>
      </c>
      <c r="B3" s="58" t="s">
        <v>1</v>
      </c>
      <c r="C3" s="59" t="s">
        <v>6</v>
      </c>
      <c r="D3" s="60"/>
      <c r="E3" s="310" t="s">
        <v>7</v>
      </c>
      <c r="F3" s="61" t="s">
        <v>4</v>
      </c>
      <c r="G3" s="62" t="s">
        <v>31</v>
      </c>
      <c r="H3" s="63" t="s">
        <v>33</v>
      </c>
      <c r="I3" s="64" t="s">
        <v>32</v>
      </c>
      <c r="J3" s="275" t="s">
        <v>34</v>
      </c>
      <c r="K3" s="199">
        <v>0</v>
      </c>
      <c r="L3" s="65" t="s">
        <v>5</v>
      </c>
      <c r="M3" s="135" t="s">
        <v>5</v>
      </c>
      <c r="N3" s="222">
        <f>IF(SUBTOTAL(109,K3:K47)&lt;&gt;SUM(K3:K47),1,0)</f>
        <v>0</v>
      </c>
      <c r="O3" s="189">
        <f>EOMONTH(O2,0)</f>
        <v>46053</v>
      </c>
      <c r="P3" s="189">
        <f t="shared" ref="P3:Z3" si="1">EOMONTH(P2,0)</f>
        <v>46081</v>
      </c>
      <c r="Q3" s="189">
        <f t="shared" si="1"/>
        <v>46112</v>
      </c>
      <c r="R3" s="189">
        <f t="shared" si="1"/>
        <v>46142</v>
      </c>
      <c r="S3" s="189">
        <f t="shared" si="1"/>
        <v>46173</v>
      </c>
      <c r="T3" s="189">
        <f t="shared" si="1"/>
        <v>46203</v>
      </c>
      <c r="U3" s="189">
        <f t="shared" si="1"/>
        <v>46234</v>
      </c>
      <c r="V3" s="189">
        <f t="shared" si="1"/>
        <v>46265</v>
      </c>
      <c r="W3" s="189">
        <f t="shared" si="1"/>
        <v>46295</v>
      </c>
      <c r="X3" s="189">
        <f t="shared" si="1"/>
        <v>46326</v>
      </c>
      <c r="Y3" s="189">
        <f t="shared" si="1"/>
        <v>46356</v>
      </c>
      <c r="Z3" s="189">
        <f t="shared" si="1"/>
        <v>46387</v>
      </c>
      <c r="AB3" s="14"/>
    </row>
    <row r="4" spans="1:28" ht="13.35" customHeight="1">
      <c r="A4" s="50" t="s">
        <v>5</v>
      </c>
      <c r="B4" s="141"/>
      <c r="C4" s="80"/>
      <c r="D4" s="93"/>
      <c r="E4" s="226"/>
      <c r="F4" s="89"/>
      <c r="G4" s="81"/>
      <c r="H4" s="82"/>
      <c r="I4" s="83" t="str">
        <f t="shared" ref="I4:I44" si="2">IF(G4&lt;&gt;"",+G4-G4/(1+H4/100),"")</f>
        <v/>
      </c>
      <c r="J4" s="361" t="str">
        <f t="shared" ref="J4:J44" si="3">IF(G4&lt;&gt;0,+G4-I4,"")</f>
        <v/>
      </c>
      <c r="K4" s="200">
        <v>1</v>
      </c>
      <c r="L4" s="133">
        <f>IF(B4&lt;$O$2,0,IF(B4&lt;$P$2,1,IF(B4&lt;$Q$2,2,IF(B4&lt;$R$2,3,IF(B4&lt;$S$2,4,IF(B4&lt;$T$2,5,IF(B4&lt;$U$2,6,IF(B4&lt;$V$2,7,IF(B4&lt;$W$2,8,IF(B4&lt;$X$2,9,IF(B4&lt;$Y$2,10,IF(B4&lt;$Z$2,11,IF(B4&lt;=$Z$3,12,0)))))))))))))</f>
        <v>0</v>
      </c>
      <c r="M4" s="135" t="s">
        <v>5</v>
      </c>
      <c r="N4" s="190">
        <f>+N10+AA12+AA16</f>
        <v>0</v>
      </c>
      <c r="O4" s="251" t="s">
        <v>36</v>
      </c>
      <c r="P4" s="251" t="s">
        <v>37</v>
      </c>
      <c r="Q4" s="251" t="s">
        <v>38</v>
      </c>
      <c r="R4" s="251" t="s">
        <v>39</v>
      </c>
      <c r="S4" s="251" t="s">
        <v>40</v>
      </c>
      <c r="T4" s="251" t="s">
        <v>41</v>
      </c>
      <c r="U4" s="251" t="s">
        <v>42</v>
      </c>
      <c r="V4" s="251" t="s">
        <v>43</v>
      </c>
      <c r="W4" s="251" t="s">
        <v>44</v>
      </c>
      <c r="X4" s="251" t="s">
        <v>45</v>
      </c>
      <c r="Y4" s="251" t="s">
        <v>46</v>
      </c>
      <c r="Z4" s="251" t="s">
        <v>47</v>
      </c>
      <c r="AA4" s="1209" t="s">
        <v>255</v>
      </c>
      <c r="AB4" s="1210"/>
    </row>
    <row r="5" spans="1:28" ht="13.35" customHeight="1">
      <c r="A5" s="50" t="s">
        <v>5</v>
      </c>
      <c r="B5" s="141"/>
      <c r="C5" s="80"/>
      <c r="D5" s="93"/>
      <c r="E5" s="226"/>
      <c r="F5" s="89"/>
      <c r="G5" s="81"/>
      <c r="H5" s="82"/>
      <c r="I5" s="83" t="str">
        <f t="shared" ref="I5:I9" si="4">IF(G5&lt;&gt;"",+G5-G5/(1+H5/100),"")</f>
        <v/>
      </c>
      <c r="J5" s="361" t="str">
        <f t="shared" si="3"/>
        <v/>
      </c>
      <c r="K5" s="200">
        <v>2</v>
      </c>
      <c r="L5" s="133">
        <f t="shared" ref="L5:L44" si="5">IF(B5&lt;$O$2,0,IF(B5&lt;$P$2,1,IF(B5&lt;$Q$2,2,IF(B5&lt;$R$2,3,IF(B5&lt;$S$2,4,IF(B5&lt;$T$2,5,IF(B5&lt;$U$2,6,IF(B5&lt;$V$2,7,IF(B5&lt;$W$2,8,IF(B5&lt;$X$2,9,IF(B5&lt;$Y$2,10,IF(B5&lt;$Z$2,11,IF(B5&lt;=$Z$3,12,0)))))))))))))</f>
        <v>0</v>
      </c>
      <c r="M5" s="135" t="s">
        <v>5</v>
      </c>
      <c r="O5" s="252">
        <f>SUMIFS($G$3:$G$47,$L$3:$L$47,1,$F$3:$F$47,"Konto")</f>
        <v>0</v>
      </c>
      <c r="P5" s="252">
        <f>SUMIFS($G$3:$G$47,$L$3:$L$47,2,$F$3:$F$47,"Konto")</f>
        <v>0</v>
      </c>
      <c r="Q5" s="252">
        <f>SUMIFS($G$3:$G$47,$L$3:$L$47,3,$F$3:$F$47,"Konto")</f>
        <v>0</v>
      </c>
      <c r="R5" s="252">
        <f>SUMIFS($G$3:$G$47,$L$3:$L$47,4,$F$3:$F$47,"Konto")</f>
        <v>0</v>
      </c>
      <c r="S5" s="252">
        <f>SUMIFS($G$3:$G$47,$L$3:$L$47,5,$F$3:$F$47,"Konto")</f>
        <v>0</v>
      </c>
      <c r="T5" s="252">
        <f>SUMIFS($G$3:$G$47,$L$3:$L$47,6,$F$3:$F$47,"Konto")</f>
        <v>0</v>
      </c>
      <c r="U5" s="252">
        <f>SUMIFS($G$3:$G$47,$L$3:$L$47,7,$F$3:$F$47,"Konto")</f>
        <v>0</v>
      </c>
      <c r="V5" s="252">
        <f>SUMIFS($G$3:$G$47,$L$3:$L$47,8,$F$3:$F$47,"Konto")</f>
        <v>0</v>
      </c>
      <c r="W5" s="252">
        <f>SUMIFS($G$3:$G$47,$L$3:$L$47,9,$F$3:$F$47,"Konto")</f>
        <v>0</v>
      </c>
      <c r="X5" s="252">
        <f>SUMIFS($G$3:$G$47,$L$3:$L$47,10,$F$3:$F$47,"Konto")</f>
        <v>0</v>
      </c>
      <c r="Y5" s="252">
        <f>SUMIFS($G$3:$G$47,$L$3:$L$47,11,$F$3:$F$47,"Konto")</f>
        <v>0</v>
      </c>
      <c r="Z5" s="252">
        <f>SUMIFS($G$3:$G$47,$L$3:$L$47,12,$F$3:$F$47,"Konto")</f>
        <v>0</v>
      </c>
      <c r="AA5" s="253">
        <f>SUM(O5:Z5)</f>
        <v>0</v>
      </c>
      <c r="AB5" s="254" t="s">
        <v>140</v>
      </c>
    </row>
    <row r="6" spans="1:28" ht="13.35" customHeight="1">
      <c r="A6" s="50" t="s">
        <v>5</v>
      </c>
      <c r="B6" s="141"/>
      <c r="C6" s="80"/>
      <c r="D6" s="93"/>
      <c r="E6" s="226"/>
      <c r="F6" s="89"/>
      <c r="G6" s="81"/>
      <c r="H6" s="82"/>
      <c r="I6" s="83" t="str">
        <f t="shared" si="4"/>
        <v/>
      </c>
      <c r="J6" s="361" t="str">
        <f t="shared" si="3"/>
        <v/>
      </c>
      <c r="K6" s="200">
        <v>3</v>
      </c>
      <c r="L6" s="133">
        <f t="shared" si="5"/>
        <v>0</v>
      </c>
      <c r="M6" s="135" t="s">
        <v>5</v>
      </c>
      <c r="N6" s="190"/>
      <c r="O6" s="252">
        <f>SUMIFS($G$3:$G$47,$L$3:$L$47,1,$F$3:$F$47,"Kreditkarte")</f>
        <v>0</v>
      </c>
      <c r="P6" s="252">
        <f>SUMIFS($G$3:$G$47,$L$3:$L$47,2,$F$3:$F$47,"Kreditkarte")</f>
        <v>0</v>
      </c>
      <c r="Q6" s="252">
        <f>SUMIFS($G$3:$G$47,$L$3:$L$47,3,$F$3:$F$47,"Kreditkarte")</f>
        <v>0</v>
      </c>
      <c r="R6" s="252">
        <f>SUMIFS($G$3:$G$47,$L$3:$L$47,4,$F$3:$F$47,"Kreditkarte")</f>
        <v>0</v>
      </c>
      <c r="S6" s="252">
        <f>SUMIFS($G$3:$G$47,$L$3:$L$47,5,$F$3:$F$47,"Kreditkarte")</f>
        <v>0</v>
      </c>
      <c r="T6" s="252">
        <f>SUMIFS($G$3:$G$47,$L$3:$L$47,6,$F$3:$F$47,"Kreditkarte")</f>
        <v>0</v>
      </c>
      <c r="U6" s="252">
        <f>SUMIFS($G$3:$G$47,$L$3:$L$47,7,$F$3:$F$47,"Kreditkarte")</f>
        <v>0</v>
      </c>
      <c r="V6" s="252">
        <f>SUMIFS($G$3:$G$47,$L$3:$L$47,8,$F$3:$F$47,"Kreditkarte")</f>
        <v>0</v>
      </c>
      <c r="W6" s="252">
        <f>SUMIFS($G$3:$G$47,$L$3:$L$47,9,$F$3:$F$47,"Kreditkarte")</f>
        <v>0</v>
      </c>
      <c r="X6" s="252">
        <f>SUMIFS($G$3:$G$47,$L$3:$L$47,10,$F$3:$F$47,"Kreditkarte")</f>
        <v>0</v>
      </c>
      <c r="Y6" s="252">
        <f>SUMIFS($G$3:$G$47,$L$3:$L$47,11,$F$3:$F$47,"Kreditkarte")</f>
        <v>0</v>
      </c>
      <c r="Z6" s="252">
        <f>SUMIFS($G$3:$G$47,$L$3:$L$47,12,$F$3:$F$47,"Kreditkarte")</f>
        <v>0</v>
      </c>
      <c r="AA6" s="255">
        <f t="shared" ref="AA6:AA8" si="6">SUM(O6:Z6)</f>
        <v>0</v>
      </c>
      <c r="AB6" s="256" t="s">
        <v>142</v>
      </c>
    </row>
    <row r="7" spans="1:28" ht="13.35" customHeight="1">
      <c r="A7" s="50" t="s">
        <v>5</v>
      </c>
      <c r="B7" s="141"/>
      <c r="C7" s="80"/>
      <c r="D7" s="93"/>
      <c r="E7" s="226"/>
      <c r="F7" s="89"/>
      <c r="G7" s="81"/>
      <c r="H7" s="82"/>
      <c r="I7" s="83" t="str">
        <f t="shared" si="4"/>
        <v/>
      </c>
      <c r="J7" s="361" t="str">
        <f t="shared" si="3"/>
        <v/>
      </c>
      <c r="K7" s="200">
        <v>4</v>
      </c>
      <c r="L7" s="133">
        <f t="shared" si="5"/>
        <v>0</v>
      </c>
      <c r="M7" s="135" t="s">
        <v>5</v>
      </c>
      <c r="O7" s="252">
        <f>SUMIFS($G$3:$G$47,$L$3:$L$47,1,$F$3:$F$47,"Geldbeutel")</f>
        <v>0</v>
      </c>
      <c r="P7" s="252">
        <f>SUMIFS($G$3:$G$47,$L$3:$L$47,2,$F$3:$F$47,"Geldbeutel")</f>
        <v>0</v>
      </c>
      <c r="Q7" s="252">
        <f>SUMIFS($G$3:$G$47,$L$3:$L$47,3,$F$3:$F$47,"Geldbeutel")</f>
        <v>0</v>
      </c>
      <c r="R7" s="252">
        <f>SUMIFS($G$3:$G$47,$L$3:$L$47,4,$F$3:$F$47,"Geldbeutel")</f>
        <v>0</v>
      </c>
      <c r="S7" s="252">
        <f>SUMIFS($G$3:$G$47,$L$3:$L$47,5,$F$3:$F$47,"Geldbeutel")</f>
        <v>0</v>
      </c>
      <c r="T7" s="252">
        <f>SUMIFS($G$3:$G$47,$L$3:$L$47,6,$F$3:$F$47,"Geldbeutel")</f>
        <v>0</v>
      </c>
      <c r="U7" s="252">
        <f>SUMIFS($G$3:$G$47,$L$3:$L$47,7,$F$3:$F$47,"Geldbeutel")</f>
        <v>0</v>
      </c>
      <c r="V7" s="252">
        <f>SUMIFS($G$3:$G$47,$L$3:$L$47,8,$F$3:$F$47,"Geldbeutel")</f>
        <v>0</v>
      </c>
      <c r="W7" s="252">
        <f>SUMIFS($G$3:$G$47,$L$3:$L$47,9,$F$3:$F$47,"Geldbeutel")</f>
        <v>0</v>
      </c>
      <c r="X7" s="252">
        <f>SUMIFS($G$3:$G$47,$L$3:$L$47,10,$F$3:$F$47,"Geldbeutel")</f>
        <v>0</v>
      </c>
      <c r="Y7" s="252">
        <f>SUMIFS($G$3:$G$47,$L$3:$L$47,11,$F$3:$F$47,"Geldbeutel")</f>
        <v>0</v>
      </c>
      <c r="Z7" s="252">
        <f>SUMIFS($G$3:$G$47,$L$3:$L$47,12,$F$3:$F$47,"Geldbeutel")</f>
        <v>0</v>
      </c>
      <c r="AA7" s="253">
        <f t="shared" si="6"/>
        <v>0</v>
      </c>
      <c r="AB7" s="254" t="s">
        <v>139</v>
      </c>
    </row>
    <row r="8" spans="1:28" ht="13.35" customHeight="1">
      <c r="A8" s="50" t="s">
        <v>5</v>
      </c>
      <c r="B8" s="141"/>
      <c r="C8" s="80"/>
      <c r="D8" s="93"/>
      <c r="E8" s="226"/>
      <c r="F8" s="89"/>
      <c r="G8" s="81"/>
      <c r="H8" s="82"/>
      <c r="I8" s="83" t="str">
        <f t="shared" si="4"/>
        <v/>
      </c>
      <c r="J8" s="361" t="str">
        <f t="shared" si="3"/>
        <v/>
      </c>
      <c r="K8" s="200">
        <v>5</v>
      </c>
      <c r="L8" s="133">
        <f t="shared" si="5"/>
        <v>0</v>
      </c>
      <c r="M8" s="135" t="s">
        <v>5</v>
      </c>
      <c r="O8" s="252">
        <f>SUMIFS($G$3:$G$47,$L$3:$L$47,1,$F$3:$F$47,"X")</f>
        <v>0</v>
      </c>
      <c r="P8" s="252">
        <f>SUMIFS($G$3:$G$47,$L$3:$L$47,2,$F$3:$F$47,"X")</f>
        <v>0</v>
      </c>
      <c r="Q8" s="252">
        <f>SUMIFS($G$3:$G$47,$L$3:$L$47,3,$F$3:$F$47,"X")</f>
        <v>0</v>
      </c>
      <c r="R8" s="252">
        <f>SUMIFS($G$3:$G$47,$L$3:$L$47,4,$F$3:$F$47,"X")</f>
        <v>0</v>
      </c>
      <c r="S8" s="252">
        <f>SUMIFS($G$3:$G$47,$L$3:$L$47,5,$F$3:$F$47,"X")</f>
        <v>0</v>
      </c>
      <c r="T8" s="252">
        <f>SUMIFS($G$3:$G$47,$L$3:$L$47,6,$F$3:$F$47,"X")</f>
        <v>0</v>
      </c>
      <c r="U8" s="252">
        <f>SUMIFS($G$3:$G$47,$L$3:$L$47,7,$F$3:$F$47,"X")</f>
        <v>0</v>
      </c>
      <c r="V8" s="252">
        <f>SUMIFS($G$3:$G$47,$L$3:$L$47,8,$F$3:$F$47,"X")</f>
        <v>0</v>
      </c>
      <c r="W8" s="252">
        <f>SUMIFS($G$3:$G$47,$L$3:$L$47,9,$F$3:$F$47,"X")</f>
        <v>0</v>
      </c>
      <c r="X8" s="252">
        <f>SUMIFS($G$3:$G$47,$L$3:$L$47,10,$F$3:$F$47,"X")</f>
        <v>0</v>
      </c>
      <c r="Y8" s="252">
        <f>SUMIFS($G$3:$G$47,$L$3:$L$47,11,$F$3:$F$47,"X")</f>
        <v>0</v>
      </c>
      <c r="Z8" s="252">
        <f>SUMIFS($G$3:$G$47,$L$3:$L$47,12,$F$3:$F$47,"X")</f>
        <v>0</v>
      </c>
      <c r="AA8" s="255">
        <f t="shared" si="6"/>
        <v>0</v>
      </c>
      <c r="AB8" s="256" t="s">
        <v>192</v>
      </c>
    </row>
    <row r="9" spans="1:28" ht="13.35" customHeight="1">
      <c r="A9" s="50" t="s">
        <v>5</v>
      </c>
      <c r="B9" s="141"/>
      <c r="C9" s="80"/>
      <c r="D9" s="93"/>
      <c r="E9" s="226"/>
      <c r="F9" s="89"/>
      <c r="G9" s="81"/>
      <c r="H9" s="82"/>
      <c r="I9" s="83" t="str">
        <f t="shared" si="4"/>
        <v/>
      </c>
      <c r="J9" s="361" t="str">
        <f t="shared" si="3"/>
        <v/>
      </c>
      <c r="K9" s="200">
        <v>6</v>
      </c>
      <c r="L9" s="133">
        <f t="shared" si="5"/>
        <v>0</v>
      </c>
      <c r="M9" s="135" t="s">
        <v>5</v>
      </c>
      <c r="N9" s="191">
        <f>IF(OR(AND(AA14&lt;&gt;0,B48="x"),(O14+AA13)&lt;&gt;H48),1,0)</f>
        <v>0</v>
      </c>
      <c r="O9" s="257">
        <f>SUM(O5:O8)</f>
        <v>0</v>
      </c>
      <c r="P9" s="257">
        <f t="shared" ref="P9:Z9" si="7">SUM(P5:P8)</f>
        <v>0</v>
      </c>
      <c r="Q9" s="257">
        <f t="shared" si="7"/>
        <v>0</v>
      </c>
      <c r="R9" s="257">
        <f t="shared" si="7"/>
        <v>0</v>
      </c>
      <c r="S9" s="257">
        <f t="shared" si="7"/>
        <v>0</v>
      </c>
      <c r="T9" s="257">
        <f t="shared" si="7"/>
        <v>0</v>
      </c>
      <c r="U9" s="257">
        <f t="shared" si="7"/>
        <v>0</v>
      </c>
      <c r="V9" s="257">
        <f t="shared" si="7"/>
        <v>0</v>
      </c>
      <c r="W9" s="257">
        <f t="shared" si="7"/>
        <v>0</v>
      </c>
      <c r="X9" s="257">
        <f t="shared" si="7"/>
        <v>0</v>
      </c>
      <c r="Y9" s="257">
        <f t="shared" si="7"/>
        <v>0</v>
      </c>
      <c r="Z9" s="257">
        <f t="shared" si="7"/>
        <v>0</v>
      </c>
      <c r="AA9" s="1211" t="s">
        <v>197</v>
      </c>
      <c r="AB9" s="1212"/>
    </row>
    <row r="10" spans="1:28" ht="13.35" customHeight="1">
      <c r="A10" s="50" t="s">
        <v>5</v>
      </c>
      <c r="B10" s="141"/>
      <c r="C10" s="80"/>
      <c r="D10" s="93"/>
      <c r="E10" s="226"/>
      <c r="F10" s="89"/>
      <c r="G10" s="81"/>
      <c r="H10" s="82"/>
      <c r="I10" s="83" t="str">
        <f t="shared" si="2"/>
        <v/>
      </c>
      <c r="J10" s="361" t="str">
        <f t="shared" si="3"/>
        <v/>
      </c>
      <c r="K10" s="200">
        <v>7</v>
      </c>
      <c r="L10" s="133">
        <f t="shared" si="5"/>
        <v>0</v>
      </c>
      <c r="M10" s="135" t="s">
        <v>5</v>
      </c>
      <c r="N10" s="259">
        <f>IF(O10+AA10&lt;&gt;G48,1,0)</f>
        <v>0</v>
      </c>
      <c r="O10" s="1230">
        <f>SUM(O5:Z8)</f>
        <v>0</v>
      </c>
      <c r="P10" s="1231"/>
      <c r="Q10" s="1231"/>
      <c r="R10" s="1231"/>
      <c r="S10" s="1231"/>
      <c r="T10" s="1231"/>
      <c r="U10" s="1231"/>
      <c r="V10" s="1231"/>
      <c r="W10" s="1231"/>
      <c r="X10" s="1231"/>
      <c r="Y10" s="1231"/>
      <c r="Z10" s="1232"/>
      <c r="AA10" s="292">
        <f>+G48-AA7-AA6-AA5-AA8</f>
        <v>0</v>
      </c>
      <c r="AB10" s="293" t="s">
        <v>205</v>
      </c>
    </row>
    <row r="11" spans="1:28" ht="13.35" customHeight="1">
      <c r="A11" s="50" t="s">
        <v>5</v>
      </c>
      <c r="B11" s="141"/>
      <c r="C11" s="80"/>
      <c r="D11" s="93"/>
      <c r="E11" s="226"/>
      <c r="F11" s="89"/>
      <c r="G11" s="81"/>
      <c r="H11" s="82"/>
      <c r="I11" s="83" t="str">
        <f t="shared" si="2"/>
        <v/>
      </c>
      <c r="J11" s="361" t="str">
        <f t="shared" si="3"/>
        <v/>
      </c>
      <c r="K11" s="200">
        <v>8</v>
      </c>
      <c r="L11" s="133">
        <f t="shared" si="5"/>
        <v>0</v>
      </c>
      <c r="M11" s="135" t="s">
        <v>5</v>
      </c>
      <c r="O11" s="1219" t="str">
        <f>IF(N4&gt;0,"Fehler!","")</f>
        <v/>
      </c>
      <c r="P11" s="1219"/>
      <c r="Q11" s="1219"/>
      <c r="R11" s="1219"/>
      <c r="S11" s="1219"/>
      <c r="T11" s="1219"/>
      <c r="U11" s="1219"/>
      <c r="V11" s="1219"/>
      <c r="W11" s="1219"/>
      <c r="X11" s="1219"/>
      <c r="Y11" s="1219"/>
      <c r="Z11" s="1219"/>
    </row>
    <row r="12" spans="1:28" ht="13.35" customHeight="1">
      <c r="A12" s="50" t="s">
        <v>5</v>
      </c>
      <c r="B12" s="141"/>
      <c r="C12" s="80"/>
      <c r="D12" s="93"/>
      <c r="E12" s="226"/>
      <c r="F12" s="89"/>
      <c r="G12" s="81"/>
      <c r="H12" s="82"/>
      <c r="I12" s="83" t="str">
        <f t="shared" si="2"/>
        <v/>
      </c>
      <c r="J12" s="361" t="str">
        <f t="shared" si="3"/>
        <v/>
      </c>
      <c r="K12" s="200">
        <v>9</v>
      </c>
      <c r="L12" s="133">
        <f t="shared" si="5"/>
        <v>0</v>
      </c>
      <c r="M12" s="135" t="s">
        <v>5</v>
      </c>
      <c r="O12" s="203" t="s">
        <v>36</v>
      </c>
      <c r="P12" s="203" t="s">
        <v>37</v>
      </c>
      <c r="Q12" s="203" t="s">
        <v>38</v>
      </c>
      <c r="R12" s="203" t="s">
        <v>39</v>
      </c>
      <c r="S12" s="203" t="s">
        <v>40</v>
      </c>
      <c r="T12" s="203" t="s">
        <v>41</v>
      </c>
      <c r="U12" s="203" t="s">
        <v>42</v>
      </c>
      <c r="V12" s="203" t="s">
        <v>43</v>
      </c>
      <c r="W12" s="203" t="s">
        <v>44</v>
      </c>
      <c r="X12" s="203" t="s">
        <v>45</v>
      </c>
      <c r="Y12" s="203" t="s">
        <v>46</v>
      </c>
      <c r="Z12" s="203" t="s">
        <v>47</v>
      </c>
      <c r="AA12" s="221">
        <f>IF(O14+AA13&lt;&gt;H48,1,0)</f>
        <v>0</v>
      </c>
    </row>
    <row r="13" spans="1:28" ht="13.35" customHeight="1">
      <c r="A13" s="50" t="s">
        <v>5</v>
      </c>
      <c r="B13" s="141"/>
      <c r="C13" s="80"/>
      <c r="D13" s="93"/>
      <c r="E13" s="226"/>
      <c r="F13" s="89"/>
      <c r="G13" s="81"/>
      <c r="H13" s="82"/>
      <c r="I13" s="83" t="str">
        <f t="shared" si="2"/>
        <v/>
      </c>
      <c r="J13" s="361" t="str">
        <f t="shared" si="3"/>
        <v/>
      </c>
      <c r="K13" s="200">
        <v>10</v>
      </c>
      <c r="L13" s="133">
        <f t="shared" si="5"/>
        <v>0</v>
      </c>
      <c r="M13" s="135" t="s">
        <v>5</v>
      </c>
      <c r="O13" s="187">
        <f>SUMIF($L$3:$L$47,1,$I$3:$I$47)</f>
        <v>0</v>
      </c>
      <c r="P13" s="187">
        <f>SUMIF($L$3:$L$47,2,$I$3:$I$47)</f>
        <v>0</v>
      </c>
      <c r="Q13" s="187">
        <f>SUMIF($L$3:$L$47,3,$I$3:$I$47)</f>
        <v>0</v>
      </c>
      <c r="R13" s="187">
        <f>SUMIF($L$3:$L$47,4,$I$3:$I$47)</f>
        <v>0</v>
      </c>
      <c r="S13" s="187">
        <f>SUMIF($L$3:$L$47,5,$I$3:$I$47)</f>
        <v>0</v>
      </c>
      <c r="T13" s="187">
        <f>SUMIF($L$3:$L$47,6,$I$3:$I$47)</f>
        <v>0</v>
      </c>
      <c r="U13" s="187">
        <f>SUMIF($L$3:$L$47,7,$I$3:$I$47)</f>
        <v>0</v>
      </c>
      <c r="V13" s="187">
        <f>SUMIF($L$3:$L$47,8,$I$3:$I$47)</f>
        <v>0</v>
      </c>
      <c r="W13" s="187">
        <f>SUMIF($L$3:$L$47,9,$I$3:$I$47)</f>
        <v>0</v>
      </c>
      <c r="X13" s="187">
        <f>SUMIF($L$3:$L$47,10,$I$3:$I$47)</f>
        <v>0</v>
      </c>
      <c r="Y13" s="187">
        <f>SUMIF($L$3:$L$47,11,$I$3:$I$47)</f>
        <v>0</v>
      </c>
      <c r="Z13" s="187">
        <f>SUMIF($L$3:$L$47,12,$I$3:$I$47)</f>
        <v>0</v>
      </c>
      <c r="AA13" s="1220">
        <f>SUMIF($L$3:$L$47,0,$I$3:$I$47)</f>
        <v>0</v>
      </c>
      <c r="AB13" s="1221"/>
    </row>
    <row r="14" spans="1:28" ht="13.35" customHeight="1">
      <c r="A14" s="50" t="s">
        <v>5</v>
      </c>
      <c r="B14" s="141"/>
      <c r="C14" s="80"/>
      <c r="D14" s="93"/>
      <c r="E14" s="226"/>
      <c r="F14" s="89"/>
      <c r="G14" s="81"/>
      <c r="H14" s="82"/>
      <c r="I14" s="83" t="str">
        <f t="shared" si="2"/>
        <v/>
      </c>
      <c r="J14" s="361" t="str">
        <f t="shared" si="3"/>
        <v/>
      </c>
      <c r="K14" s="200">
        <v>11</v>
      </c>
      <c r="L14" s="133">
        <f t="shared" si="5"/>
        <v>0</v>
      </c>
      <c r="M14" s="135" t="s">
        <v>5</v>
      </c>
      <c r="O14" s="1299">
        <f>SUM(O13:Z13)</f>
        <v>0</v>
      </c>
      <c r="P14" s="1300"/>
      <c r="Q14" s="1300"/>
      <c r="R14" s="1300"/>
      <c r="S14" s="1300"/>
      <c r="T14" s="1300"/>
      <c r="U14" s="1300"/>
      <c r="V14" s="1300"/>
      <c r="W14" s="1300"/>
      <c r="X14" s="1300"/>
      <c r="Y14" s="1300"/>
      <c r="Z14" s="1301"/>
      <c r="AA14" s="1222">
        <f>SUM(O13:Z13)+AA13</f>
        <v>0</v>
      </c>
      <c r="AB14" s="1223"/>
    </row>
    <row r="15" spans="1:28" ht="13.35" customHeight="1">
      <c r="A15" s="50" t="s">
        <v>5</v>
      </c>
      <c r="B15" s="141"/>
      <c r="C15" s="260"/>
      <c r="D15" s="93"/>
      <c r="E15" s="226"/>
      <c r="F15" s="89"/>
      <c r="G15" s="81"/>
      <c r="H15" s="82"/>
      <c r="I15" s="83" t="str">
        <f t="shared" si="2"/>
        <v/>
      </c>
      <c r="J15" s="361" t="str">
        <f t="shared" si="3"/>
        <v/>
      </c>
      <c r="K15" s="200">
        <v>12</v>
      </c>
      <c r="L15" s="133">
        <f t="shared" si="5"/>
        <v>0</v>
      </c>
      <c r="M15" s="135" t="s">
        <v>5</v>
      </c>
      <c r="O15" s="244"/>
      <c r="P15" s="244"/>
      <c r="Q15" s="244"/>
      <c r="R15" s="244"/>
      <c r="S15" s="244"/>
      <c r="T15" s="244"/>
      <c r="U15" s="244"/>
      <c r="V15" s="244"/>
      <c r="W15" s="244"/>
      <c r="X15" s="244"/>
      <c r="Y15" s="244"/>
      <c r="Z15" s="244"/>
      <c r="AA15" s="244"/>
      <c r="AB15" s="244"/>
    </row>
    <row r="16" spans="1:28" ht="13.35" customHeight="1">
      <c r="A16" s="50" t="s">
        <v>5</v>
      </c>
      <c r="B16" s="141"/>
      <c r="C16" s="80"/>
      <c r="D16" s="93"/>
      <c r="E16" s="226"/>
      <c r="F16" s="89"/>
      <c r="G16" s="81"/>
      <c r="H16" s="82"/>
      <c r="I16" s="83" t="str">
        <f t="shared" si="2"/>
        <v/>
      </c>
      <c r="J16" s="361" t="str">
        <f t="shared" si="3"/>
        <v/>
      </c>
      <c r="K16" s="200">
        <v>13</v>
      </c>
      <c r="L16" s="133">
        <f t="shared" si="5"/>
        <v>0</v>
      </c>
      <c r="M16" s="135" t="s">
        <v>5</v>
      </c>
      <c r="O16" s="244"/>
      <c r="P16" s="244"/>
      <c r="Q16" s="244"/>
      <c r="R16" s="244"/>
      <c r="S16" s="244"/>
      <c r="T16" s="244"/>
      <c r="U16" s="244"/>
      <c r="V16" s="244"/>
      <c r="W16" s="244"/>
      <c r="X16" s="244"/>
      <c r="Y16" s="244"/>
      <c r="Z16" s="244"/>
      <c r="AA16" s="244"/>
      <c r="AB16" s="244"/>
    </row>
    <row r="17" spans="1:28" ht="13.35" customHeight="1">
      <c r="A17" s="50" t="s">
        <v>5</v>
      </c>
      <c r="B17" s="141"/>
      <c r="C17" s="80"/>
      <c r="D17" s="93"/>
      <c r="E17" s="226"/>
      <c r="F17" s="89"/>
      <c r="G17" s="81"/>
      <c r="H17" s="82"/>
      <c r="I17" s="83" t="str">
        <f t="shared" si="2"/>
        <v/>
      </c>
      <c r="J17" s="361" t="str">
        <f t="shared" si="3"/>
        <v/>
      </c>
      <c r="K17" s="200">
        <v>14</v>
      </c>
      <c r="L17" s="133">
        <f t="shared" si="5"/>
        <v>0</v>
      </c>
      <c r="M17" s="135" t="s">
        <v>5</v>
      </c>
      <c r="O17" s="244"/>
      <c r="P17" s="244"/>
      <c r="Q17" s="244"/>
      <c r="R17" s="244"/>
      <c r="S17" s="244"/>
      <c r="T17" s="244"/>
      <c r="U17" s="244"/>
      <c r="V17" s="244"/>
      <c r="W17" s="244"/>
      <c r="X17" s="244"/>
      <c r="Y17" s="244"/>
      <c r="Z17" s="244"/>
      <c r="AA17" s="244"/>
      <c r="AB17" s="244"/>
    </row>
    <row r="18" spans="1:28" ht="13.35" customHeight="1">
      <c r="A18" s="50" t="s">
        <v>5</v>
      </c>
      <c r="B18" s="141"/>
      <c r="C18" s="80"/>
      <c r="D18" s="93"/>
      <c r="E18" s="226"/>
      <c r="F18" s="89"/>
      <c r="G18" s="81"/>
      <c r="H18" s="82"/>
      <c r="I18" s="83" t="str">
        <f t="shared" si="2"/>
        <v/>
      </c>
      <c r="J18" s="361" t="str">
        <f t="shared" si="3"/>
        <v/>
      </c>
      <c r="K18" s="200">
        <v>15</v>
      </c>
      <c r="L18" s="133">
        <f t="shared" si="5"/>
        <v>0</v>
      </c>
      <c r="M18" s="135" t="s">
        <v>5</v>
      </c>
      <c r="O18" s="244"/>
      <c r="P18" s="244"/>
      <c r="Q18" s="244"/>
      <c r="R18" s="244"/>
      <c r="S18" s="244"/>
      <c r="T18" s="244"/>
      <c r="U18" s="244"/>
      <c r="V18" s="244"/>
      <c r="W18" s="244"/>
      <c r="X18" s="244"/>
      <c r="Y18" s="244"/>
      <c r="Z18" s="244"/>
      <c r="AA18" s="244"/>
      <c r="AB18" s="244"/>
    </row>
    <row r="19" spans="1:28" ht="13.35" customHeight="1">
      <c r="A19" s="50" t="s">
        <v>5</v>
      </c>
      <c r="B19" s="141"/>
      <c r="C19" s="80"/>
      <c r="D19" s="93"/>
      <c r="E19" s="226"/>
      <c r="F19" s="89"/>
      <c r="G19" s="81"/>
      <c r="H19" s="82"/>
      <c r="I19" s="83" t="str">
        <f t="shared" si="2"/>
        <v/>
      </c>
      <c r="J19" s="361" t="str">
        <f t="shared" si="3"/>
        <v/>
      </c>
      <c r="K19" s="200">
        <v>16</v>
      </c>
      <c r="L19" s="133">
        <f t="shared" si="5"/>
        <v>0</v>
      </c>
      <c r="M19" s="135" t="s">
        <v>5</v>
      </c>
      <c r="O19" s="244"/>
      <c r="P19" s="244"/>
      <c r="Q19" s="244"/>
      <c r="R19" s="244"/>
      <c r="S19" s="244"/>
      <c r="T19" s="244"/>
      <c r="U19" s="244"/>
      <c r="V19" s="244"/>
      <c r="W19" s="244"/>
      <c r="X19" s="244"/>
      <c r="Y19" s="244"/>
      <c r="Z19" s="244"/>
      <c r="AA19" s="244"/>
      <c r="AB19" s="244"/>
    </row>
    <row r="20" spans="1:28" ht="13.35" customHeight="1">
      <c r="A20" s="50" t="s">
        <v>5</v>
      </c>
      <c r="B20" s="141"/>
      <c r="C20" s="80"/>
      <c r="D20" s="93"/>
      <c r="E20" s="226"/>
      <c r="F20" s="89"/>
      <c r="G20" s="81"/>
      <c r="H20" s="82"/>
      <c r="I20" s="83" t="str">
        <f t="shared" si="2"/>
        <v/>
      </c>
      <c r="J20" s="361" t="str">
        <f t="shared" si="3"/>
        <v/>
      </c>
      <c r="K20" s="200">
        <v>17</v>
      </c>
      <c r="L20" s="133">
        <f t="shared" si="5"/>
        <v>0</v>
      </c>
      <c r="M20" s="135" t="s">
        <v>5</v>
      </c>
      <c r="O20" s="244"/>
      <c r="P20" s="244"/>
      <c r="Q20" s="244"/>
      <c r="R20" s="244"/>
      <c r="S20" s="244"/>
      <c r="T20" s="244"/>
      <c r="U20" s="244"/>
      <c r="V20" s="244"/>
      <c r="W20" s="244"/>
      <c r="X20" s="244"/>
      <c r="Y20" s="244"/>
      <c r="Z20" s="244"/>
      <c r="AA20" s="244"/>
      <c r="AB20" s="244"/>
    </row>
    <row r="21" spans="1:28" ht="13.35" customHeight="1">
      <c r="A21" s="50" t="s">
        <v>5</v>
      </c>
      <c r="B21" s="141"/>
      <c r="C21" s="80"/>
      <c r="D21" s="93"/>
      <c r="E21" s="226"/>
      <c r="F21" s="89"/>
      <c r="G21" s="81"/>
      <c r="H21" s="82"/>
      <c r="I21" s="83" t="str">
        <f t="shared" si="2"/>
        <v/>
      </c>
      <c r="J21" s="361" t="str">
        <f t="shared" si="3"/>
        <v/>
      </c>
      <c r="K21" s="200">
        <v>18</v>
      </c>
      <c r="L21" s="133">
        <f t="shared" si="5"/>
        <v>0</v>
      </c>
      <c r="M21" s="135" t="s">
        <v>5</v>
      </c>
      <c r="O21" s="244"/>
      <c r="P21" s="244"/>
      <c r="Q21" s="244"/>
      <c r="R21" s="244"/>
      <c r="S21" s="244"/>
      <c r="T21" s="244"/>
      <c r="U21" s="244"/>
      <c r="V21" s="244"/>
      <c r="W21" s="244"/>
      <c r="X21" s="244"/>
      <c r="Y21" s="244"/>
      <c r="Z21" s="244"/>
      <c r="AA21" s="244"/>
      <c r="AB21" s="244"/>
    </row>
    <row r="22" spans="1:28" ht="13.35" customHeight="1">
      <c r="A22" s="50" t="s">
        <v>5</v>
      </c>
      <c r="B22" s="141"/>
      <c r="C22" s="80"/>
      <c r="D22" s="93"/>
      <c r="E22" s="226"/>
      <c r="F22" s="89"/>
      <c r="G22" s="81"/>
      <c r="H22" s="82"/>
      <c r="I22" s="83" t="str">
        <f t="shared" si="2"/>
        <v/>
      </c>
      <c r="J22" s="361" t="str">
        <f t="shared" si="3"/>
        <v/>
      </c>
      <c r="K22" s="200">
        <v>19</v>
      </c>
      <c r="L22" s="133">
        <f t="shared" si="5"/>
        <v>0</v>
      </c>
      <c r="M22" s="135" t="s">
        <v>5</v>
      </c>
      <c r="O22" s="244"/>
      <c r="P22" s="244"/>
      <c r="Q22" s="244"/>
      <c r="R22" s="244"/>
      <c r="S22" s="244"/>
      <c r="T22" s="244"/>
      <c r="U22" s="244"/>
      <c r="V22" s="244"/>
      <c r="W22" s="244"/>
      <c r="X22" s="244"/>
      <c r="Y22" s="244"/>
      <c r="Z22" s="244"/>
      <c r="AA22" s="244"/>
      <c r="AB22" s="244"/>
    </row>
    <row r="23" spans="1:28" ht="13.35" customHeight="1">
      <c r="A23" s="50" t="s">
        <v>5</v>
      </c>
      <c r="B23" s="141"/>
      <c r="C23" s="80"/>
      <c r="D23" s="94"/>
      <c r="E23" s="226"/>
      <c r="F23" s="89"/>
      <c r="G23" s="81"/>
      <c r="H23" s="82"/>
      <c r="I23" s="83" t="str">
        <f t="shared" si="2"/>
        <v/>
      </c>
      <c r="J23" s="361" t="str">
        <f t="shared" si="3"/>
        <v/>
      </c>
      <c r="K23" s="200">
        <v>20</v>
      </c>
      <c r="L23" s="133">
        <f t="shared" si="5"/>
        <v>0</v>
      </c>
      <c r="M23" s="135" t="s">
        <v>5</v>
      </c>
      <c r="O23" s="244"/>
      <c r="P23" s="244"/>
      <c r="Q23" s="244"/>
      <c r="R23" s="244"/>
      <c r="S23" s="244"/>
      <c r="T23" s="244"/>
      <c r="U23" s="244"/>
      <c r="V23" s="244"/>
      <c r="W23" s="244"/>
      <c r="X23" s="244"/>
      <c r="Y23" s="244"/>
      <c r="Z23" s="244"/>
      <c r="AA23" s="244"/>
      <c r="AB23" s="244"/>
    </row>
    <row r="24" spans="1:28" ht="13.35" customHeight="1">
      <c r="A24" s="50" t="s">
        <v>5</v>
      </c>
      <c r="B24" s="141"/>
      <c r="C24" s="80"/>
      <c r="D24" s="93"/>
      <c r="E24" s="226"/>
      <c r="F24" s="89"/>
      <c r="G24" s="81"/>
      <c r="H24" s="82"/>
      <c r="I24" s="83" t="str">
        <f t="shared" si="2"/>
        <v/>
      </c>
      <c r="J24" s="361" t="str">
        <f t="shared" si="3"/>
        <v/>
      </c>
      <c r="K24" s="200">
        <v>21</v>
      </c>
      <c r="L24" s="133">
        <f t="shared" si="5"/>
        <v>0</v>
      </c>
      <c r="M24" s="135" t="s">
        <v>5</v>
      </c>
      <c r="O24" s="244"/>
      <c r="P24" s="244"/>
      <c r="Q24" s="244"/>
      <c r="R24" s="244"/>
      <c r="S24" s="244"/>
      <c r="T24" s="244"/>
      <c r="U24" s="244"/>
      <c r="V24" s="244"/>
      <c r="W24" s="244"/>
      <c r="X24" s="244"/>
      <c r="Y24" s="244"/>
      <c r="Z24" s="244"/>
      <c r="AA24" s="244"/>
      <c r="AB24" s="244"/>
    </row>
    <row r="25" spans="1:28" ht="13.35" customHeight="1">
      <c r="A25" s="50" t="s">
        <v>5</v>
      </c>
      <c r="B25" s="141"/>
      <c r="C25" s="80"/>
      <c r="D25" s="93"/>
      <c r="E25" s="226"/>
      <c r="F25" s="89"/>
      <c r="G25" s="81"/>
      <c r="H25" s="82"/>
      <c r="I25" s="83" t="str">
        <f t="shared" si="2"/>
        <v/>
      </c>
      <c r="J25" s="361" t="str">
        <f t="shared" si="3"/>
        <v/>
      </c>
      <c r="K25" s="200">
        <v>22</v>
      </c>
      <c r="L25" s="133">
        <f t="shared" si="5"/>
        <v>0</v>
      </c>
      <c r="M25" s="135" t="s">
        <v>5</v>
      </c>
      <c r="O25" s="244"/>
      <c r="P25" s="244"/>
      <c r="Q25" s="244"/>
      <c r="R25" s="244"/>
      <c r="S25" s="244"/>
      <c r="T25" s="244"/>
      <c r="U25" s="244"/>
      <c r="V25" s="244"/>
      <c r="W25" s="244"/>
      <c r="X25" s="244"/>
      <c r="Y25" s="244"/>
      <c r="Z25" s="244"/>
      <c r="AA25" s="244"/>
      <c r="AB25" s="244"/>
    </row>
    <row r="26" spans="1:28" ht="13.35" customHeight="1">
      <c r="A26" s="50" t="s">
        <v>5</v>
      </c>
      <c r="B26" s="141"/>
      <c r="C26" s="80"/>
      <c r="D26" s="93"/>
      <c r="E26" s="226"/>
      <c r="F26" s="89"/>
      <c r="G26" s="81"/>
      <c r="H26" s="82"/>
      <c r="I26" s="83" t="str">
        <f t="shared" si="2"/>
        <v/>
      </c>
      <c r="J26" s="361" t="str">
        <f t="shared" si="3"/>
        <v/>
      </c>
      <c r="K26" s="200">
        <v>23</v>
      </c>
      <c r="L26" s="133">
        <f t="shared" si="5"/>
        <v>0</v>
      </c>
      <c r="M26" s="135" t="s">
        <v>5</v>
      </c>
      <c r="O26" s="244"/>
      <c r="P26" s="244"/>
      <c r="Q26" s="244"/>
      <c r="R26" s="244"/>
      <c r="S26" s="244"/>
      <c r="T26" s="244"/>
      <c r="U26" s="244"/>
      <c r="V26" s="244"/>
      <c r="W26" s="244"/>
      <c r="X26" s="244"/>
      <c r="Y26" s="244"/>
      <c r="Z26" s="244"/>
      <c r="AA26" s="244"/>
      <c r="AB26" s="244"/>
    </row>
    <row r="27" spans="1:28" ht="13.35" customHeight="1">
      <c r="A27" s="50" t="s">
        <v>5</v>
      </c>
      <c r="B27" s="141"/>
      <c r="C27" s="80"/>
      <c r="D27" s="93"/>
      <c r="E27" s="226"/>
      <c r="F27" s="89"/>
      <c r="G27" s="81"/>
      <c r="H27" s="82"/>
      <c r="I27" s="83" t="str">
        <f t="shared" si="2"/>
        <v/>
      </c>
      <c r="J27" s="361" t="str">
        <f t="shared" si="3"/>
        <v/>
      </c>
      <c r="K27" s="200">
        <v>24</v>
      </c>
      <c r="L27" s="133">
        <f t="shared" si="5"/>
        <v>0</v>
      </c>
      <c r="M27" s="135" t="s">
        <v>5</v>
      </c>
      <c r="O27" s="244"/>
      <c r="P27" s="244"/>
      <c r="Q27" s="244"/>
      <c r="R27" s="244"/>
      <c r="S27" s="244"/>
      <c r="T27" s="244"/>
      <c r="U27" s="244"/>
      <c r="V27" s="244"/>
      <c r="W27" s="244"/>
      <c r="X27" s="244"/>
      <c r="Y27" s="244"/>
      <c r="Z27" s="244"/>
      <c r="AA27" s="244"/>
      <c r="AB27" s="244"/>
    </row>
    <row r="28" spans="1:28" ht="13.35" customHeight="1">
      <c r="A28" s="50" t="s">
        <v>5</v>
      </c>
      <c r="B28" s="141"/>
      <c r="C28" s="80"/>
      <c r="D28" s="93"/>
      <c r="E28" s="226"/>
      <c r="F28" s="89"/>
      <c r="G28" s="81"/>
      <c r="H28" s="82"/>
      <c r="I28" s="83" t="str">
        <f t="shared" si="2"/>
        <v/>
      </c>
      <c r="J28" s="361" t="str">
        <f t="shared" si="3"/>
        <v/>
      </c>
      <c r="K28" s="200">
        <v>25</v>
      </c>
      <c r="L28" s="133">
        <f t="shared" si="5"/>
        <v>0</v>
      </c>
      <c r="M28" s="135" t="s">
        <v>5</v>
      </c>
      <c r="O28" s="244"/>
      <c r="P28" s="244"/>
      <c r="Q28" s="244"/>
      <c r="R28" s="244"/>
      <c r="S28" s="244"/>
      <c r="T28" s="244"/>
      <c r="U28" s="244"/>
      <c r="V28" s="244"/>
      <c r="W28" s="244"/>
      <c r="X28" s="244"/>
      <c r="Y28" s="244"/>
      <c r="Z28" s="244"/>
      <c r="AA28" s="244"/>
      <c r="AB28" s="244"/>
    </row>
    <row r="29" spans="1:28" ht="13.35" customHeight="1">
      <c r="A29" s="50" t="s">
        <v>5</v>
      </c>
      <c r="B29" s="141"/>
      <c r="C29" s="80"/>
      <c r="D29" s="93"/>
      <c r="E29" s="226"/>
      <c r="F29" s="89"/>
      <c r="G29" s="81"/>
      <c r="H29" s="82"/>
      <c r="I29" s="83" t="str">
        <f t="shared" si="2"/>
        <v/>
      </c>
      <c r="J29" s="361" t="str">
        <f t="shared" si="3"/>
        <v/>
      </c>
      <c r="K29" s="200">
        <v>26</v>
      </c>
      <c r="L29" s="133">
        <f t="shared" si="5"/>
        <v>0</v>
      </c>
      <c r="M29" s="135" t="s">
        <v>5</v>
      </c>
      <c r="O29" s="244"/>
      <c r="P29" s="244"/>
      <c r="Q29" s="244"/>
      <c r="R29" s="244"/>
      <c r="S29" s="244"/>
      <c r="T29" s="244"/>
      <c r="U29" s="244"/>
      <c r="V29" s="244"/>
      <c r="W29" s="244"/>
      <c r="X29" s="244"/>
      <c r="Y29" s="244"/>
      <c r="Z29" s="244"/>
      <c r="AA29" s="244"/>
      <c r="AB29" s="244"/>
    </row>
    <row r="30" spans="1:28" ht="13.35" customHeight="1">
      <c r="A30" s="50" t="s">
        <v>5</v>
      </c>
      <c r="B30" s="141"/>
      <c r="C30" s="80"/>
      <c r="D30" s="93"/>
      <c r="E30" s="226"/>
      <c r="F30" s="89"/>
      <c r="G30" s="81"/>
      <c r="H30" s="82"/>
      <c r="I30" s="83" t="str">
        <f t="shared" si="2"/>
        <v/>
      </c>
      <c r="J30" s="361" t="str">
        <f t="shared" si="3"/>
        <v/>
      </c>
      <c r="K30" s="200">
        <v>27</v>
      </c>
      <c r="L30" s="133">
        <f t="shared" si="5"/>
        <v>0</v>
      </c>
      <c r="M30" s="135" t="s">
        <v>5</v>
      </c>
      <c r="O30" s="244"/>
      <c r="P30" s="244"/>
      <c r="Q30" s="244"/>
      <c r="R30" s="244"/>
      <c r="S30" s="244"/>
      <c r="T30" s="244"/>
      <c r="U30" s="244"/>
      <c r="V30" s="244"/>
      <c r="W30" s="244"/>
      <c r="X30" s="244"/>
      <c r="Y30" s="244"/>
      <c r="Z30" s="244"/>
      <c r="AA30" s="244"/>
      <c r="AB30" s="244"/>
    </row>
    <row r="31" spans="1:28" ht="13.35" customHeight="1">
      <c r="A31" s="50" t="s">
        <v>5</v>
      </c>
      <c r="B31" s="141"/>
      <c r="C31" s="80"/>
      <c r="D31" s="93"/>
      <c r="E31" s="226"/>
      <c r="F31" s="89"/>
      <c r="G31" s="81"/>
      <c r="H31" s="82"/>
      <c r="I31" s="83" t="str">
        <f t="shared" si="2"/>
        <v/>
      </c>
      <c r="J31" s="361" t="str">
        <f t="shared" si="3"/>
        <v/>
      </c>
      <c r="K31" s="200">
        <v>28</v>
      </c>
      <c r="L31" s="133">
        <f t="shared" si="5"/>
        <v>0</v>
      </c>
      <c r="M31" s="135" t="s">
        <v>5</v>
      </c>
      <c r="O31" s="244"/>
      <c r="P31" s="244"/>
      <c r="Q31" s="244"/>
      <c r="R31" s="244"/>
      <c r="S31" s="244"/>
      <c r="T31" s="244"/>
      <c r="U31" s="244"/>
      <c r="V31" s="244"/>
      <c r="W31" s="244"/>
      <c r="X31" s="244"/>
      <c r="Y31" s="244"/>
      <c r="Z31" s="244"/>
      <c r="AA31" s="244"/>
      <c r="AB31" s="244"/>
    </row>
    <row r="32" spans="1:28" ht="13.35" customHeight="1">
      <c r="A32" s="50" t="s">
        <v>5</v>
      </c>
      <c r="B32" s="141"/>
      <c r="C32" s="80"/>
      <c r="D32" s="93"/>
      <c r="E32" s="226"/>
      <c r="F32" s="89"/>
      <c r="G32" s="81"/>
      <c r="H32" s="82"/>
      <c r="I32" s="83" t="str">
        <f t="shared" si="2"/>
        <v/>
      </c>
      <c r="J32" s="361" t="str">
        <f t="shared" si="3"/>
        <v/>
      </c>
      <c r="K32" s="200">
        <v>29</v>
      </c>
      <c r="L32" s="133">
        <f t="shared" si="5"/>
        <v>0</v>
      </c>
      <c r="M32" s="135" t="s">
        <v>5</v>
      </c>
      <c r="O32" s="244"/>
      <c r="P32" s="244"/>
      <c r="Q32" s="244"/>
      <c r="R32" s="244"/>
      <c r="S32" s="244"/>
      <c r="T32" s="244"/>
      <c r="U32" s="244"/>
      <c r="V32" s="244"/>
      <c r="W32" s="244"/>
      <c r="X32" s="244"/>
      <c r="Y32" s="244"/>
      <c r="Z32" s="244"/>
      <c r="AA32" s="244"/>
      <c r="AB32" s="244"/>
    </row>
    <row r="33" spans="1:28" ht="13.35" customHeight="1">
      <c r="A33" s="50" t="s">
        <v>5</v>
      </c>
      <c r="B33" s="141"/>
      <c r="C33" s="80"/>
      <c r="D33" s="93"/>
      <c r="E33" s="226"/>
      <c r="F33" s="89"/>
      <c r="G33" s="81"/>
      <c r="H33" s="82"/>
      <c r="I33" s="83" t="str">
        <f t="shared" si="2"/>
        <v/>
      </c>
      <c r="J33" s="361" t="str">
        <f t="shared" si="3"/>
        <v/>
      </c>
      <c r="K33" s="200">
        <v>30</v>
      </c>
      <c r="L33" s="133">
        <f t="shared" si="5"/>
        <v>0</v>
      </c>
      <c r="M33" s="135" t="s">
        <v>5</v>
      </c>
      <c r="O33" s="244"/>
      <c r="P33" s="244"/>
      <c r="Q33" s="244"/>
      <c r="R33" s="244"/>
      <c r="S33" s="244"/>
      <c r="T33" s="244"/>
      <c r="U33" s="244"/>
      <c r="V33" s="244"/>
      <c r="W33" s="244"/>
      <c r="X33" s="244"/>
      <c r="Y33" s="244"/>
      <c r="Z33" s="244"/>
      <c r="AA33" s="244"/>
      <c r="AB33" s="244"/>
    </row>
    <row r="34" spans="1:28" ht="13.35" customHeight="1">
      <c r="A34" s="50" t="s">
        <v>5</v>
      </c>
      <c r="B34" s="141"/>
      <c r="C34" s="80"/>
      <c r="D34" s="93"/>
      <c r="E34" s="226"/>
      <c r="F34" s="89"/>
      <c r="G34" s="81"/>
      <c r="H34" s="82"/>
      <c r="I34" s="83" t="str">
        <f t="shared" si="2"/>
        <v/>
      </c>
      <c r="J34" s="361" t="str">
        <f t="shared" si="3"/>
        <v/>
      </c>
      <c r="K34" s="200">
        <v>31</v>
      </c>
      <c r="L34" s="133">
        <f t="shared" si="5"/>
        <v>0</v>
      </c>
      <c r="M34" s="135" t="s">
        <v>5</v>
      </c>
      <c r="O34" s="244"/>
      <c r="P34" s="244"/>
      <c r="Q34" s="244"/>
      <c r="R34" s="244"/>
      <c r="S34" s="244"/>
      <c r="T34" s="244"/>
      <c r="U34" s="244"/>
      <c r="V34" s="244"/>
      <c r="W34" s="244"/>
      <c r="X34" s="244"/>
      <c r="Y34" s="244"/>
      <c r="Z34" s="244"/>
      <c r="AA34" s="244"/>
      <c r="AB34" s="244"/>
    </row>
    <row r="35" spans="1:28" ht="13.35" customHeight="1">
      <c r="A35" s="50" t="s">
        <v>5</v>
      </c>
      <c r="B35" s="141"/>
      <c r="C35" s="80"/>
      <c r="D35" s="93"/>
      <c r="E35" s="226"/>
      <c r="F35" s="89"/>
      <c r="G35" s="81"/>
      <c r="H35" s="82"/>
      <c r="I35" s="83" t="str">
        <f t="shared" si="2"/>
        <v/>
      </c>
      <c r="J35" s="361" t="str">
        <f t="shared" si="3"/>
        <v/>
      </c>
      <c r="K35" s="200">
        <v>32</v>
      </c>
      <c r="L35" s="133">
        <f t="shared" si="5"/>
        <v>0</v>
      </c>
      <c r="M35" s="135" t="s">
        <v>5</v>
      </c>
      <c r="O35" s="244"/>
      <c r="P35" s="244"/>
      <c r="Q35" s="244"/>
      <c r="R35" s="244"/>
      <c r="S35" s="244"/>
      <c r="T35" s="244"/>
      <c r="U35" s="244"/>
      <c r="V35" s="244"/>
      <c r="W35" s="244"/>
      <c r="X35" s="244"/>
      <c r="Y35" s="244"/>
      <c r="Z35" s="244"/>
      <c r="AA35" s="244"/>
      <c r="AB35" s="244"/>
    </row>
    <row r="36" spans="1:28" ht="13.35" customHeight="1">
      <c r="A36" s="50" t="s">
        <v>5</v>
      </c>
      <c r="B36" s="141"/>
      <c r="C36" s="80"/>
      <c r="D36" s="93"/>
      <c r="E36" s="226"/>
      <c r="F36" s="89"/>
      <c r="G36" s="81"/>
      <c r="H36" s="82"/>
      <c r="I36" s="83" t="str">
        <f t="shared" si="2"/>
        <v/>
      </c>
      <c r="J36" s="361" t="str">
        <f t="shared" si="3"/>
        <v/>
      </c>
      <c r="K36" s="200">
        <v>33</v>
      </c>
      <c r="L36" s="133">
        <f t="shared" si="5"/>
        <v>0</v>
      </c>
      <c r="M36" s="135" t="s">
        <v>5</v>
      </c>
      <c r="O36" s="244"/>
      <c r="P36" s="244"/>
      <c r="Q36" s="244"/>
      <c r="R36" s="244"/>
      <c r="S36" s="244"/>
      <c r="T36" s="244"/>
      <c r="U36" s="244"/>
      <c r="V36" s="244"/>
      <c r="W36" s="244"/>
      <c r="X36" s="244"/>
      <c r="Y36" s="244"/>
      <c r="Z36" s="244"/>
      <c r="AA36" s="244"/>
      <c r="AB36" s="244"/>
    </row>
    <row r="37" spans="1:28" ht="13.35" customHeight="1">
      <c r="A37" s="50" t="s">
        <v>5</v>
      </c>
      <c r="B37" s="141"/>
      <c r="C37" s="80"/>
      <c r="D37" s="93"/>
      <c r="E37" s="226"/>
      <c r="F37" s="89"/>
      <c r="G37" s="81"/>
      <c r="H37" s="82"/>
      <c r="I37" s="83" t="str">
        <f t="shared" si="2"/>
        <v/>
      </c>
      <c r="J37" s="361" t="str">
        <f t="shared" si="3"/>
        <v/>
      </c>
      <c r="K37" s="200">
        <v>34</v>
      </c>
      <c r="L37" s="133">
        <f t="shared" si="5"/>
        <v>0</v>
      </c>
      <c r="M37" s="135" t="s">
        <v>5</v>
      </c>
      <c r="O37" s="244"/>
      <c r="P37" s="244"/>
      <c r="Q37" s="244"/>
      <c r="R37" s="244"/>
      <c r="S37" s="244"/>
      <c r="T37" s="244"/>
      <c r="U37" s="244"/>
      <c r="V37" s="244"/>
      <c r="W37" s="244"/>
      <c r="X37" s="244"/>
      <c r="Y37" s="244"/>
      <c r="Z37" s="244"/>
      <c r="AA37" s="244"/>
      <c r="AB37" s="244"/>
    </row>
    <row r="38" spans="1:28" ht="13.35" customHeight="1">
      <c r="A38" s="50" t="s">
        <v>5</v>
      </c>
      <c r="B38" s="141"/>
      <c r="C38" s="80"/>
      <c r="D38" s="93"/>
      <c r="E38" s="226"/>
      <c r="F38" s="89"/>
      <c r="G38" s="81"/>
      <c r="H38" s="82"/>
      <c r="I38" s="83" t="str">
        <f t="shared" si="2"/>
        <v/>
      </c>
      <c r="J38" s="361" t="str">
        <f t="shared" si="3"/>
        <v/>
      </c>
      <c r="K38" s="200">
        <v>35</v>
      </c>
      <c r="L38" s="133">
        <f t="shared" si="5"/>
        <v>0</v>
      </c>
      <c r="M38" s="135" t="s">
        <v>5</v>
      </c>
      <c r="O38" s="244"/>
      <c r="P38" s="244"/>
      <c r="Q38" s="244"/>
      <c r="R38" s="244"/>
      <c r="S38" s="244"/>
      <c r="T38" s="244"/>
      <c r="U38" s="244"/>
      <c r="V38" s="244"/>
      <c r="W38" s="244"/>
      <c r="X38" s="244"/>
      <c r="Y38" s="244"/>
      <c r="Z38" s="244"/>
      <c r="AA38" s="244"/>
      <c r="AB38" s="244"/>
    </row>
    <row r="39" spans="1:28" ht="13.35" customHeight="1">
      <c r="A39" s="50" t="s">
        <v>5</v>
      </c>
      <c r="B39" s="141"/>
      <c r="C39" s="80"/>
      <c r="D39" s="93"/>
      <c r="E39" s="226"/>
      <c r="F39" s="89"/>
      <c r="G39" s="81"/>
      <c r="H39" s="82"/>
      <c r="I39" s="83" t="str">
        <f t="shared" si="2"/>
        <v/>
      </c>
      <c r="J39" s="361" t="str">
        <f t="shared" si="3"/>
        <v/>
      </c>
      <c r="K39" s="200">
        <v>36</v>
      </c>
      <c r="L39" s="133">
        <f t="shared" si="5"/>
        <v>0</v>
      </c>
      <c r="M39" s="135" t="s">
        <v>5</v>
      </c>
      <c r="O39" s="244"/>
      <c r="P39" s="244"/>
      <c r="Q39" s="244"/>
      <c r="R39" s="244"/>
      <c r="S39" s="244"/>
      <c r="T39" s="244"/>
      <c r="U39" s="244"/>
      <c r="V39" s="244"/>
      <c r="W39" s="244"/>
      <c r="X39" s="244"/>
      <c r="Y39" s="244"/>
      <c r="Z39" s="244"/>
      <c r="AA39" s="244"/>
      <c r="AB39" s="244"/>
    </row>
    <row r="40" spans="1:28" ht="13.35" customHeight="1">
      <c r="A40" s="50" t="s">
        <v>5</v>
      </c>
      <c r="B40" s="141"/>
      <c r="C40" s="80"/>
      <c r="D40" s="93"/>
      <c r="E40" s="226"/>
      <c r="F40" s="89"/>
      <c r="G40" s="81"/>
      <c r="H40" s="82"/>
      <c r="I40" s="83" t="str">
        <f t="shared" si="2"/>
        <v/>
      </c>
      <c r="J40" s="361" t="str">
        <f t="shared" si="3"/>
        <v/>
      </c>
      <c r="K40" s="200">
        <v>37</v>
      </c>
      <c r="L40" s="133">
        <f t="shared" si="5"/>
        <v>0</v>
      </c>
      <c r="M40" s="135" t="s">
        <v>5</v>
      </c>
      <c r="O40" s="244"/>
      <c r="P40" s="244"/>
      <c r="Q40" s="244"/>
      <c r="R40" s="244"/>
      <c r="S40" s="244"/>
      <c r="T40" s="244"/>
      <c r="U40" s="244"/>
      <c r="V40" s="244"/>
      <c r="W40" s="244"/>
      <c r="X40" s="244"/>
      <c r="Y40" s="244"/>
      <c r="Z40" s="244"/>
      <c r="AA40" s="244"/>
      <c r="AB40" s="244"/>
    </row>
    <row r="41" spans="1:28" ht="13.35" customHeight="1">
      <c r="A41" s="50" t="s">
        <v>5</v>
      </c>
      <c r="B41" s="141"/>
      <c r="C41" s="80"/>
      <c r="D41" s="93"/>
      <c r="E41" s="226"/>
      <c r="F41" s="89"/>
      <c r="G41" s="81"/>
      <c r="H41" s="82"/>
      <c r="I41" s="83" t="str">
        <f t="shared" si="2"/>
        <v/>
      </c>
      <c r="J41" s="361" t="str">
        <f t="shared" si="3"/>
        <v/>
      </c>
      <c r="K41" s="200">
        <v>38</v>
      </c>
      <c r="L41" s="133">
        <f t="shared" si="5"/>
        <v>0</v>
      </c>
      <c r="M41" s="135" t="s">
        <v>5</v>
      </c>
      <c r="O41" s="244"/>
      <c r="P41" s="244"/>
      <c r="Q41" s="244"/>
      <c r="R41" s="244"/>
      <c r="S41" s="244"/>
      <c r="T41" s="244"/>
      <c r="U41" s="244"/>
      <c r="V41" s="244"/>
      <c r="W41" s="244"/>
      <c r="X41" s="244"/>
      <c r="Y41" s="244"/>
      <c r="Z41" s="244"/>
      <c r="AA41" s="244"/>
      <c r="AB41" s="244"/>
    </row>
    <row r="42" spans="1:28" ht="13.35" customHeight="1">
      <c r="A42" s="50" t="s">
        <v>5</v>
      </c>
      <c r="B42" s="141"/>
      <c r="C42" s="80"/>
      <c r="D42" s="93"/>
      <c r="E42" s="226"/>
      <c r="F42" s="89"/>
      <c r="G42" s="81"/>
      <c r="H42" s="82"/>
      <c r="I42" s="83" t="str">
        <f t="shared" si="2"/>
        <v/>
      </c>
      <c r="J42" s="361" t="str">
        <f t="shared" si="3"/>
        <v/>
      </c>
      <c r="K42" s="200">
        <v>39</v>
      </c>
      <c r="L42" s="133">
        <f t="shared" si="5"/>
        <v>0</v>
      </c>
      <c r="M42" s="135" t="s">
        <v>5</v>
      </c>
      <c r="O42" s="244"/>
      <c r="P42" s="244"/>
      <c r="Q42" s="244"/>
      <c r="R42" s="244"/>
      <c r="S42" s="244"/>
      <c r="T42" s="244"/>
      <c r="U42" s="244"/>
      <c r="V42" s="244"/>
      <c r="W42" s="244"/>
      <c r="X42" s="244"/>
      <c r="Y42" s="244"/>
      <c r="Z42" s="244"/>
      <c r="AA42" s="244"/>
      <c r="AB42" s="244"/>
    </row>
    <row r="43" spans="1:28" ht="13.35" customHeight="1">
      <c r="A43" s="50" t="s">
        <v>5</v>
      </c>
      <c r="B43" s="141"/>
      <c r="C43" s="80"/>
      <c r="D43" s="93"/>
      <c r="E43" s="226"/>
      <c r="F43" s="89"/>
      <c r="G43" s="81"/>
      <c r="H43" s="82"/>
      <c r="I43" s="83" t="str">
        <f t="shared" si="2"/>
        <v/>
      </c>
      <c r="J43" s="361" t="str">
        <f t="shared" si="3"/>
        <v/>
      </c>
      <c r="K43" s="200">
        <v>40</v>
      </c>
      <c r="L43" s="133">
        <f t="shared" si="5"/>
        <v>0</v>
      </c>
      <c r="M43" s="135" t="s">
        <v>5</v>
      </c>
      <c r="O43" s="244"/>
      <c r="P43" s="244"/>
      <c r="Q43" s="244"/>
      <c r="R43" s="244"/>
      <c r="S43" s="244"/>
      <c r="T43" s="244"/>
      <c r="U43" s="244"/>
      <c r="V43" s="244"/>
      <c r="W43" s="244"/>
      <c r="X43" s="244"/>
      <c r="Y43" s="244"/>
      <c r="Z43" s="244"/>
      <c r="AA43" s="244"/>
      <c r="AB43" s="244"/>
    </row>
    <row r="44" spans="1:28" ht="13.35" customHeight="1">
      <c r="A44" s="50" t="s">
        <v>5</v>
      </c>
      <c r="B44" s="141"/>
      <c r="C44" s="80"/>
      <c r="D44" s="93"/>
      <c r="E44" s="226"/>
      <c r="F44" s="89"/>
      <c r="G44" s="81"/>
      <c r="H44" s="82"/>
      <c r="I44" s="83" t="str">
        <f t="shared" si="2"/>
        <v/>
      </c>
      <c r="J44" s="361" t="str">
        <f t="shared" si="3"/>
        <v/>
      </c>
      <c r="K44" s="200">
        <v>41</v>
      </c>
      <c r="L44" s="133">
        <f t="shared" si="5"/>
        <v>0</v>
      </c>
      <c r="M44" s="135" t="s">
        <v>5</v>
      </c>
      <c r="O44" s="244"/>
      <c r="P44" s="244"/>
      <c r="Q44" s="244"/>
      <c r="R44" s="244"/>
      <c r="S44" s="244"/>
      <c r="T44" s="244"/>
      <c r="U44" s="244"/>
      <c r="V44" s="244"/>
      <c r="W44" s="244"/>
      <c r="X44" s="244"/>
      <c r="Y44" s="244"/>
      <c r="Z44" s="244"/>
      <c r="AA44" s="244"/>
      <c r="AB44" s="244"/>
    </row>
    <row r="45" spans="1:28" ht="13.35" customHeight="1">
      <c r="A45" s="50" t="s">
        <v>5</v>
      </c>
      <c r="B45" s="141"/>
      <c r="C45" s="80"/>
      <c r="D45" s="93"/>
      <c r="E45" s="226"/>
      <c r="F45" s="89"/>
      <c r="G45" s="81"/>
      <c r="H45" s="82"/>
      <c r="I45" s="83" t="str">
        <f t="shared" ref="I45:I46" si="8">IF(G45&lt;&gt;"",+G45-G45/(1+H45/100),"")</f>
        <v/>
      </c>
      <c r="J45" s="361" t="str">
        <f t="shared" ref="J45:J46" si="9">IF(G45&lt;&gt;0,+G45-I45,"")</f>
        <v/>
      </c>
      <c r="K45" s="200">
        <v>44</v>
      </c>
      <c r="L45" s="133">
        <f t="shared" ref="L45:L46" si="10">IF(B45&lt;$O$2,0,IF(B45&lt;$P$2,1,IF(B45&lt;$Q$2,2,IF(B45&lt;$R$2,3,IF(B45&lt;$S$2,4,IF(B45&lt;$T$2,5,IF(B45&lt;$U$2,6,IF(B45&lt;$V$2,7,IF(B45&lt;$W$2,8,IF(B45&lt;$X$2,9,IF(B45&lt;$Y$2,10,IF(B45&lt;$Z$2,11,IF(B45&lt;=$Z$3,12,0)))))))))))))</f>
        <v>0</v>
      </c>
      <c r="M45" s="135" t="s">
        <v>5</v>
      </c>
      <c r="O45" s="244"/>
      <c r="P45" s="244"/>
      <c r="Q45" s="244"/>
      <c r="R45" s="244"/>
      <c r="S45" s="244"/>
      <c r="T45" s="244"/>
      <c r="U45" s="244"/>
      <c r="V45" s="244"/>
      <c r="W45" s="244"/>
      <c r="X45" s="244"/>
      <c r="Y45" s="244"/>
      <c r="Z45" s="244"/>
      <c r="AA45" s="244"/>
      <c r="AB45" s="244"/>
    </row>
    <row r="46" spans="1:28" ht="13.35" customHeight="1" thickBot="1">
      <c r="A46" s="50" t="s">
        <v>5</v>
      </c>
      <c r="B46" s="141"/>
      <c r="C46" s="80"/>
      <c r="D46" s="93"/>
      <c r="E46" s="226"/>
      <c r="F46" s="89"/>
      <c r="G46" s="81"/>
      <c r="H46" s="82"/>
      <c r="I46" s="83" t="str">
        <f t="shared" si="8"/>
        <v/>
      </c>
      <c r="J46" s="361" t="str">
        <f t="shared" si="9"/>
        <v/>
      </c>
      <c r="K46" s="200">
        <v>45</v>
      </c>
      <c r="L46" s="133">
        <f t="shared" si="10"/>
        <v>0</v>
      </c>
      <c r="M46" s="135" t="s">
        <v>5</v>
      </c>
      <c r="O46" s="244"/>
      <c r="P46" s="244"/>
      <c r="Q46" s="244"/>
      <c r="R46" s="244"/>
      <c r="S46" s="244"/>
      <c r="T46" s="244"/>
      <c r="U46" s="244"/>
      <c r="V46" s="244"/>
      <c r="W46" s="244"/>
      <c r="X46" s="244"/>
      <c r="Y46" s="244"/>
      <c r="Z46" s="244"/>
      <c r="AA46" s="244"/>
      <c r="AB46" s="244"/>
    </row>
    <row r="47" spans="1:28" ht="12" customHeight="1" thickTop="1" thickBot="1">
      <c r="A47" s="391" t="s">
        <v>283</v>
      </c>
      <c r="B47" s="1244" t="str">
        <f>IF($A$48=0,"^ Zeile einfügen","bis hierher ziehen!")</f>
        <v>^ Zeile einfügen</v>
      </c>
      <c r="C47" s="1244"/>
      <c r="D47" s="392" t="s">
        <v>5</v>
      </c>
      <c r="E47" s="393" t="s">
        <v>5</v>
      </c>
      <c r="F47" s="394" t="s">
        <v>5</v>
      </c>
      <c r="G47" s="394"/>
      <c r="H47" s="395"/>
      <c r="I47" s="396"/>
      <c r="J47" s="425"/>
      <c r="K47" s="201">
        <v>0</v>
      </c>
      <c r="L47" s="185" t="s">
        <v>5</v>
      </c>
      <c r="M47" s="398" t="s">
        <v>283</v>
      </c>
    </row>
    <row r="48" spans="1:28" ht="12" customHeight="1" thickTop="1" thickBot="1">
      <c r="A48" s="390">
        <f>COUNTBLANK(A3:A47)+A49</f>
        <v>0</v>
      </c>
      <c r="B48" s="193" t="str">
        <f>+EÜR!C45</f>
        <v>ü</v>
      </c>
      <c r="C48" s="194" t="s">
        <v>5</v>
      </c>
      <c r="D48" s="194" t="s">
        <v>5</v>
      </c>
      <c r="E48" s="195" t="s">
        <v>5</v>
      </c>
      <c r="F48" s="196" t="s">
        <v>5</v>
      </c>
      <c r="G48" s="197">
        <f>SUBTOTAL(9,G3:G47)</f>
        <v>0</v>
      </c>
      <c r="H48" s="1242">
        <f>SUBTOTAL(9,I3:I47)</f>
        <v>0</v>
      </c>
      <c r="I48" s="1243">
        <f>SUBTOTAL(9,I3:I47)</f>
        <v>0</v>
      </c>
      <c r="J48" s="1293">
        <f>G48-H48</f>
        <v>0</v>
      </c>
      <c r="K48" s="1294"/>
      <c r="L48" s="1295"/>
      <c r="M48" s="135" t="s">
        <v>5</v>
      </c>
    </row>
    <row r="49" spans="1:14" ht="12" customHeight="1" thickTop="1" thickBot="1">
      <c r="A49" s="390">
        <f>IF(ISERROR(J47),1,0)</f>
        <v>0</v>
      </c>
      <c r="B49" s="192">
        <f>J48-G49-E49-C49</f>
        <v>0</v>
      </c>
      <c r="C49" s="1239">
        <f>SUMIF(F4:F47,"Kreditkarte",G4:G47)</f>
        <v>0</v>
      </c>
      <c r="D49" s="1239"/>
      <c r="E49" s="1240">
        <f>SUMIF(F4:F47,"Konto",G4:G47)</f>
        <v>0</v>
      </c>
      <c r="F49" s="1240"/>
      <c r="G49" s="1241">
        <f>SUMIF(F4:F47,"Geldbeutel",G4:G47)</f>
        <v>0</v>
      </c>
      <c r="H49" s="1241"/>
      <c r="I49" s="1241"/>
      <c r="J49" s="1296"/>
      <c r="K49" s="1297"/>
      <c r="L49" s="1298"/>
      <c r="M49" s="135" t="s">
        <v>5</v>
      </c>
    </row>
    <row r="50" spans="1:14" s="15" customFormat="1" ht="5.25" customHeight="1" thickTop="1">
      <c r="A50" s="36"/>
      <c r="B50" s="2"/>
      <c r="C50" s="3"/>
      <c r="D50" s="3"/>
      <c r="E50" s="1"/>
      <c r="G50" s="16"/>
      <c r="H50" s="16"/>
      <c r="I50" s="17"/>
      <c r="J50" s="18"/>
      <c r="K50" s="18"/>
      <c r="L50" s="31"/>
      <c r="N50" s="148"/>
    </row>
    <row r="51" spans="1:14">
      <c r="A51" s="36"/>
    </row>
  </sheetData>
  <sheetProtection formatCells="0" insertRows="0" deleteRows="0" selectLockedCells="1" sort="0" autoFilter="0"/>
  <mergeCells count="15">
    <mergeCell ref="C2:I2"/>
    <mergeCell ref="J2:L2"/>
    <mergeCell ref="AA9:AB9"/>
    <mergeCell ref="O10:Z10"/>
    <mergeCell ref="O11:Z11"/>
    <mergeCell ref="AA4:AB4"/>
    <mergeCell ref="AA13:AB13"/>
    <mergeCell ref="O14:Z14"/>
    <mergeCell ref="AA14:AB14"/>
    <mergeCell ref="J48:L49"/>
    <mergeCell ref="C49:D49"/>
    <mergeCell ref="E49:F49"/>
    <mergeCell ref="G49:I49"/>
    <mergeCell ref="H48:I48"/>
    <mergeCell ref="B47:C47"/>
  </mergeCells>
  <conditionalFormatting sqref="A4:A46">
    <cfRule type="expression" dxfId="518" priority="17">
      <formula>ISERROR(J4)</formula>
    </cfRule>
    <cfRule type="cellIs" dxfId="517" priority="18" operator="equal">
      <formula>""</formula>
    </cfRule>
  </conditionalFormatting>
  <conditionalFormatting sqref="A47:C47">
    <cfRule type="expression" dxfId="516" priority="8">
      <formula>$A$48&lt;&gt;0</formula>
    </cfRule>
  </conditionalFormatting>
  <conditionalFormatting sqref="B2">
    <cfRule type="expression" dxfId="515" priority="44" stopIfTrue="1">
      <formula>$B$48="x"</formula>
    </cfRule>
  </conditionalFormatting>
  <conditionalFormatting sqref="B4:B46">
    <cfRule type="cellIs" dxfId="512" priority="31" operator="equal">
      <formula>""</formula>
    </cfRule>
  </conditionalFormatting>
  <conditionalFormatting sqref="B48">
    <cfRule type="cellIs" dxfId="511" priority="67" operator="equal">
      <formula>"y"</formula>
    </cfRule>
  </conditionalFormatting>
  <conditionalFormatting sqref="B3:J3">
    <cfRule type="expression" dxfId="510" priority="9573">
      <formula>$B$48="x"</formula>
    </cfRule>
  </conditionalFormatting>
  <conditionalFormatting sqref="B4:J46">
    <cfRule type="expression" dxfId="509" priority="27">
      <formula>$B$1="x"</formula>
    </cfRule>
  </conditionalFormatting>
  <conditionalFormatting sqref="B3:L3">
    <cfRule type="expression" dxfId="508" priority="61">
      <formula>$B$48="x"</formula>
    </cfRule>
  </conditionalFormatting>
  <conditionalFormatting sqref="C4:D46">
    <cfRule type="expression" dxfId="507" priority="34">
      <formula>AND($B4&lt;&gt;"",$C4="")</formula>
    </cfRule>
  </conditionalFormatting>
  <conditionalFormatting sqref="C49:I49">
    <cfRule type="cellIs" dxfId="506" priority="66" stopIfTrue="1" operator="lessThan">
      <formula>0</formula>
    </cfRule>
    <cfRule type="cellIs" dxfId="505" priority="64" stopIfTrue="1" operator="greaterThanOrEqual">
      <formula>0</formula>
    </cfRule>
  </conditionalFormatting>
  <conditionalFormatting sqref="D47:J47">
    <cfRule type="expression" dxfId="504" priority="10">
      <formula>$A$48&lt;&gt;0</formula>
    </cfRule>
  </conditionalFormatting>
  <conditionalFormatting sqref="H4:H46">
    <cfRule type="expression" dxfId="503" priority="30">
      <formula>AND(G4&lt;&gt;"",H4="",$I$1&lt;&gt;"x")</formula>
    </cfRule>
  </conditionalFormatting>
  <conditionalFormatting sqref="H4:I46">
    <cfRule type="expression" dxfId="502" priority="28">
      <formula>AND($I4&lt;&gt;0,$I$1&lt;&gt;"ü")</formula>
    </cfRule>
    <cfRule type="expression" dxfId="501" priority="29">
      <formula>$I$1&lt;&gt;"ü"</formula>
    </cfRule>
  </conditionalFormatting>
  <conditionalFormatting sqref="J48:L48 C49:L49 C48:H48">
    <cfRule type="expression" dxfId="499" priority="63">
      <formula>$B$48="x"</formula>
    </cfRule>
  </conditionalFormatting>
  <conditionalFormatting sqref="J48:L49">
    <cfRule type="expression" dxfId="498" priority="62">
      <formula>AND($B$48="x",$J$48&lt;&gt;0)</formula>
    </cfRule>
  </conditionalFormatting>
  <conditionalFormatting sqref="K4:L46">
    <cfRule type="expression" dxfId="497" priority="15825">
      <formula>$B$48="x"</formula>
    </cfRule>
  </conditionalFormatting>
  <conditionalFormatting sqref="M3">
    <cfRule type="cellIs" dxfId="496" priority="26" operator="equal">
      <formula>""</formula>
    </cfRule>
  </conditionalFormatting>
  <conditionalFormatting sqref="M4:M46">
    <cfRule type="expression" dxfId="495" priority="24">
      <formula>ISERROR(J4)</formula>
    </cfRule>
    <cfRule type="cellIs" dxfId="494" priority="25" operator="equal">
      <formula>""</formula>
    </cfRule>
  </conditionalFormatting>
  <conditionalFormatting sqref="M47">
    <cfRule type="expression" dxfId="493" priority="9">
      <formula>$A$48&lt;&gt;0</formula>
    </cfRule>
  </conditionalFormatting>
  <conditionalFormatting sqref="M47:M49">
    <cfRule type="cellIs" dxfId="492" priority="12" operator="equal">
      <formula>""</formula>
    </cfRule>
  </conditionalFormatting>
  <conditionalFormatting sqref="N10:AB10">
    <cfRule type="expression" dxfId="491" priority="7">
      <formula>$N$2=0</formula>
    </cfRule>
  </conditionalFormatting>
  <conditionalFormatting sqref="O11:Z11">
    <cfRule type="cellIs" dxfId="490" priority="48" operator="equal">
      <formula>"Fehler!"</formula>
    </cfRule>
  </conditionalFormatting>
  <conditionalFormatting sqref="O4:AA4">
    <cfRule type="expression" dxfId="486" priority="43">
      <formula>$N$2=0</formula>
    </cfRule>
  </conditionalFormatting>
  <conditionalFormatting sqref="O2:AB3">
    <cfRule type="expression" dxfId="484" priority="2">
      <formula>$N$2=0</formula>
    </cfRule>
  </conditionalFormatting>
  <conditionalFormatting sqref="O5:AB8 O9:AA9">
    <cfRule type="expression" dxfId="483" priority="47">
      <formula>$N$2=0</formula>
    </cfRule>
  </conditionalFormatting>
  <conditionalFormatting sqref="O11:AB14">
    <cfRule type="expression" dxfId="482" priority="1">
      <formula>$N$2=0</formula>
    </cfRule>
  </conditionalFormatting>
  <conditionalFormatting sqref="O47:AB49">
    <cfRule type="expression" dxfId="481" priority="11">
      <formula>$N$2=0</formula>
    </cfRule>
  </conditionalFormatting>
  <dataValidations count="2">
    <dataValidation type="list" allowBlank="1" showInputMessage="1" showErrorMessage="1" sqref="F4:F46" xr:uid="{F9CEC334-9BE6-4622-B887-DA7FFDEAC5FC}">
      <formula1>"Konto,Geldbeutel,Kreditkarte,x"</formula1>
    </dataValidation>
    <dataValidation type="list" allowBlank="1" showInputMessage="1" showErrorMessage="1" sqref="H4:H46" xr:uid="{7DC32EEF-3C7B-4202-8703-B7610AB5A5C3}">
      <formula1>"19,7,0,~"</formula1>
    </dataValidation>
  </dataValidations>
  <hyperlinks>
    <hyperlink ref="J2" location="'2022 EÜR'!A1" display="Menü" xr:uid="{4B031778-A803-4C90-9E0E-48C9B0F15759}"/>
    <hyperlink ref="J2:L2" location="EÜR!A1" display="EÜR" xr:uid="{0EE805AF-F79C-4678-A4DC-A63E339D6D68}"/>
  </hyperlinks>
  <printOptions horizontalCentered="1"/>
  <pageMargins left="0" right="0" top="0" bottom="0.31496062992125984" header="0" footer="0"/>
  <pageSetup paperSize="9" orientation="portrait" r:id="rId1"/>
  <headerFooter>
    <oddFooter>&amp;L&amp;"Arial,Standard"&amp;8Datei: &amp;Z&amp;F/&amp;A&amp;C&amp;"Arial,Standard"&amp;8Seite &amp;P von &amp;N&amp;R&amp;"Arial,Standard"&amp;8Druck: &amp;D&amp;T Uhr</oddFooter>
  </headerFooter>
  <extLst>
    <ext xmlns:x14="http://schemas.microsoft.com/office/spreadsheetml/2009/9/main" uri="{78C0D931-6437-407d-A8EE-F0AAD7539E65}">
      <x14:conditionalFormattings>
        <x14:conditionalFormatting xmlns:xm="http://schemas.microsoft.com/office/excel/2006/main">
          <x14:cfRule type="cellIs" priority="32" operator="greaterThan" id="{9C93F805-05D0-4477-9BBF-671DC1D440A1}">
            <xm:f>EÜR!$I$78</xm:f>
            <x14:dxf>
              <font>
                <b/>
                <i val="0"/>
                <color rgb="FFFFFF00"/>
              </font>
              <fill>
                <patternFill>
                  <bgColor rgb="FFC00000"/>
                </patternFill>
              </fill>
            </x14:dxf>
          </x14:cfRule>
          <x14:cfRule type="cellIs" priority="33" operator="lessThan" id="{D92A4F54-42F2-4DED-8C33-0CA44E226048}">
            <xm:f>EÜR!$I$77</xm:f>
            <x14:dxf>
              <font>
                <b/>
                <i val="0"/>
                <color rgb="FFFFFF00"/>
              </font>
              <fill>
                <patternFill>
                  <bgColor rgb="FFC00000"/>
                </patternFill>
              </fill>
            </x14:dxf>
          </x14:cfRule>
          <xm:sqref>B4:B46</xm:sqref>
        </x14:conditionalFormatting>
        <x14:conditionalFormatting xmlns:xm="http://schemas.microsoft.com/office/excel/2006/main">
          <x14:cfRule type="expression" priority="45" id="{81FA9F28-BC3E-4A0E-BC51-1252D050DF4A}">
            <xm:f>AND(EÜR!$J$66&lt;&gt;"ü",$H$48&lt;&gt;0)</xm:f>
            <x14:dxf>
              <font>
                <b/>
                <i val="0"/>
                <color rgb="FFFFFF00"/>
              </font>
              <fill>
                <patternFill>
                  <bgColor rgb="FFFF0000"/>
                </patternFill>
              </fill>
            </x14:dxf>
          </x14:cfRule>
          <xm:sqref>H48:I48</xm:sqref>
        </x14:conditionalFormatting>
        <x14:conditionalFormatting xmlns:xm="http://schemas.microsoft.com/office/excel/2006/main">
          <x14:cfRule type="expression" priority="49" id="{0CCD155E-C34E-42C9-88DD-AFFAE36CA0FE}">
            <xm:f>AND(O13&lt;&gt;0,U!L36="!",U!L37="!")</xm:f>
            <x14:dxf>
              <font>
                <b/>
                <i val="0"/>
                <color rgb="FFFF0000"/>
              </font>
              <fill>
                <patternFill>
                  <bgColor rgb="FFFFCCCC"/>
                </patternFill>
              </fill>
            </x14:dxf>
          </x14:cfRule>
          <x14:cfRule type="expression" priority="50" id="{D67FC51C-4612-4F55-B5A6-D3776F715B47}">
            <xm:f>U!L37&lt;&gt;"!"</xm:f>
            <x14:dxf>
              <font>
                <b/>
                <i val="0"/>
                <color rgb="FF006666"/>
              </font>
              <fill>
                <patternFill>
                  <bgColor theme="6" tint="0.39994506668294322"/>
                </patternFill>
              </fill>
            </x14:dxf>
          </x14:cfRule>
          <x14:cfRule type="expression" priority="51" id="{B235D866-A7E3-40B6-92BF-053EFC6577AF}">
            <xm:f>U!L36&lt;&gt;"!"</xm:f>
            <x14:dxf>
              <font>
                <b/>
                <i val="0"/>
                <color theme="9" tint="-0.499984740745262"/>
              </font>
              <fill>
                <patternFill>
                  <bgColor rgb="FFFFFF99"/>
                </patternFill>
              </fill>
            </x14:dxf>
          </x14:cfRule>
          <xm:sqref>O13:Z13</xm:sqref>
        </x14:conditionalFormatting>
        <x14:conditionalFormatting xmlns:xm="http://schemas.microsoft.com/office/excel/2006/main">
          <x14:cfRule type="expression" priority="3" id="{A96D9A23-5E19-4386-997C-8EFD396B1640}">
            <xm:f>EÜR!$J$66="-"</xm:f>
            <x14:dxf>
              <font>
                <b/>
                <i val="0"/>
                <color theme="0"/>
              </font>
              <fill>
                <patternFill>
                  <bgColor theme="0"/>
                </patternFill>
              </fill>
              <border>
                <left/>
                <right/>
                <top/>
                <bottom/>
              </border>
            </x14:dxf>
          </x14:cfRule>
          <xm:sqref>O12:AA14</xm:sqref>
        </x14:conditionalFormatting>
      </x14:conditionalFormattings>
    </ext>
  </extLst>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AB5B7D-681A-4899-B4C9-E3399CB44F16}">
  <sheetPr codeName="Tabelle34">
    <tabColor theme="9" tint="0.39997558519241921"/>
    <pageSetUpPr autoPageBreaks="0"/>
  </sheetPr>
  <dimension ref="A1:AB51"/>
  <sheetViews>
    <sheetView showGridLines="0" showRowColHeaders="0" zoomScaleNormal="100" workbookViewId="0">
      <pane ySplit="3" topLeftCell="A4" activePane="bottomLeft" state="frozen"/>
      <selection activeCell="F4" sqref="F4:F46"/>
      <selection pane="bottomLeft" activeCell="A4" sqref="A4"/>
    </sheetView>
  </sheetViews>
  <sheetFormatPr baseColWidth="10" defaultColWidth="9.77734375" defaultRowHeight="12.75"/>
  <cols>
    <col min="1" max="1" width="0.77734375" style="12" customWidth="1"/>
    <col min="2" max="2" width="7.6640625" style="30" customWidth="1"/>
    <col min="3" max="3" width="21.6640625" style="24" customWidth="1"/>
    <col min="4" max="4" width="7.6640625" style="24" customWidth="1"/>
    <col min="5" max="5" width="6.6640625" style="25" customWidth="1"/>
    <col min="6" max="6" width="9.6640625" style="26" customWidth="1"/>
    <col min="7" max="7" width="9.6640625" style="27" customWidth="1"/>
    <col min="8" max="8" width="2.6640625" style="28" customWidth="1"/>
    <col min="9" max="9" width="6.6640625" style="29" customWidth="1"/>
    <col min="10" max="10" width="9.6640625" style="27" customWidth="1"/>
    <col min="11" max="11" width="2.5546875" style="27" hidden="1" customWidth="1"/>
    <col min="12" max="12" width="1.5546875" style="32" hidden="1" customWidth="1"/>
    <col min="13" max="13" width="0.77734375" style="13" customWidth="1"/>
    <col min="14" max="14" width="1.77734375" style="147" customWidth="1"/>
    <col min="15" max="26" width="8.77734375" style="13" customWidth="1"/>
    <col min="27" max="27" width="10.33203125" style="13" customWidth="1"/>
    <col min="28" max="28" width="8.33203125" style="13" customWidth="1"/>
    <col min="29" max="16384" width="9.77734375" style="13"/>
  </cols>
  <sheetData>
    <row r="1" spans="1:28" s="37" customFormat="1" ht="3" customHeight="1" thickBot="1">
      <c r="A1" s="36"/>
      <c r="B1" s="53" t="str">
        <f>+B48</f>
        <v>ü</v>
      </c>
      <c r="C1" s="54">
        <f>+C49</f>
        <v>0</v>
      </c>
      <c r="D1" s="54"/>
      <c r="E1" s="53">
        <f>+E49</f>
        <v>0</v>
      </c>
      <c r="F1" s="53"/>
      <c r="G1" s="54">
        <f>+G49</f>
        <v>0</v>
      </c>
      <c r="H1" s="53"/>
      <c r="I1" s="338" t="s">
        <v>168</v>
      </c>
      <c r="J1" s="54">
        <f>+J48</f>
        <v>0</v>
      </c>
      <c r="K1" s="198"/>
      <c r="L1" s="56"/>
      <c r="N1" s="190"/>
    </row>
    <row r="2" spans="1:28" ht="23.1" customHeight="1" thickTop="1" thickBot="1">
      <c r="A2" s="36"/>
      <c r="B2" s="296" t="str">
        <f>+EÜR!D46</f>
        <v>A25</v>
      </c>
      <c r="C2" s="1290" t="str">
        <f>+EÜR!F46</f>
        <v>Verpflegungsmehraufwand</v>
      </c>
      <c r="D2" s="1291"/>
      <c r="E2" s="1291"/>
      <c r="F2" s="1291"/>
      <c r="G2" s="1291"/>
      <c r="H2" s="1291"/>
      <c r="I2" s="1292"/>
      <c r="J2" s="1227" t="s">
        <v>8</v>
      </c>
      <c r="K2" s="1228"/>
      <c r="L2" s="1229"/>
      <c r="M2" s="134"/>
      <c r="N2" s="190">
        <f>IF(OR(B48="x",N3=1),0,1)</f>
        <v>1</v>
      </c>
      <c r="O2" s="188">
        <f>+EOMONTH(EÜR!$I$3,-1)+1</f>
        <v>46023</v>
      </c>
      <c r="P2" s="188">
        <f t="shared" ref="P2:Z2" si="0">+O3+1</f>
        <v>46054</v>
      </c>
      <c r="Q2" s="188">
        <f t="shared" si="0"/>
        <v>46082</v>
      </c>
      <c r="R2" s="188">
        <f t="shared" si="0"/>
        <v>46113</v>
      </c>
      <c r="S2" s="188">
        <f t="shared" si="0"/>
        <v>46143</v>
      </c>
      <c r="T2" s="188">
        <f t="shared" si="0"/>
        <v>46174</v>
      </c>
      <c r="U2" s="188">
        <f t="shared" si="0"/>
        <v>46204</v>
      </c>
      <c r="V2" s="188">
        <f t="shared" si="0"/>
        <v>46235</v>
      </c>
      <c r="W2" s="188">
        <f t="shared" si="0"/>
        <v>46266</v>
      </c>
      <c r="X2" s="188">
        <f t="shared" si="0"/>
        <v>46296</v>
      </c>
      <c r="Y2" s="188">
        <f t="shared" si="0"/>
        <v>46327</v>
      </c>
      <c r="Z2" s="188">
        <f t="shared" si="0"/>
        <v>46357</v>
      </c>
      <c r="AA2" s="48"/>
    </row>
    <row r="3" spans="1:28" ht="14.25" customHeight="1" thickTop="1">
      <c r="A3" s="36" t="s">
        <v>5</v>
      </c>
      <c r="B3" s="58" t="s">
        <v>1</v>
      </c>
      <c r="C3" s="59" t="s">
        <v>6</v>
      </c>
      <c r="D3" s="60"/>
      <c r="E3" s="310" t="s">
        <v>7</v>
      </c>
      <c r="F3" s="61" t="s">
        <v>4</v>
      </c>
      <c r="G3" s="62" t="s">
        <v>31</v>
      </c>
      <c r="H3" s="63" t="s">
        <v>33</v>
      </c>
      <c r="I3" s="64" t="s">
        <v>32</v>
      </c>
      <c r="J3" s="275" t="s">
        <v>34</v>
      </c>
      <c r="K3" s="199">
        <v>0</v>
      </c>
      <c r="L3" s="65" t="s">
        <v>5</v>
      </c>
      <c r="M3" s="135" t="s">
        <v>5</v>
      </c>
      <c r="N3" s="222">
        <f>IF(SUBTOTAL(109,K3:K47)&lt;&gt;SUM(K3:K47),1,0)</f>
        <v>0</v>
      </c>
      <c r="O3" s="189">
        <f>EOMONTH(O2,0)</f>
        <v>46053</v>
      </c>
      <c r="P3" s="189">
        <f t="shared" ref="P3:Z3" si="1">EOMONTH(P2,0)</f>
        <v>46081</v>
      </c>
      <c r="Q3" s="189">
        <f t="shared" si="1"/>
        <v>46112</v>
      </c>
      <c r="R3" s="189">
        <f t="shared" si="1"/>
        <v>46142</v>
      </c>
      <c r="S3" s="189">
        <f t="shared" si="1"/>
        <v>46173</v>
      </c>
      <c r="T3" s="189">
        <f t="shared" si="1"/>
        <v>46203</v>
      </c>
      <c r="U3" s="189">
        <f t="shared" si="1"/>
        <v>46234</v>
      </c>
      <c r="V3" s="189">
        <f t="shared" si="1"/>
        <v>46265</v>
      </c>
      <c r="W3" s="189">
        <f t="shared" si="1"/>
        <v>46295</v>
      </c>
      <c r="X3" s="189">
        <f t="shared" si="1"/>
        <v>46326</v>
      </c>
      <c r="Y3" s="189">
        <f t="shared" si="1"/>
        <v>46356</v>
      </c>
      <c r="Z3" s="189">
        <f t="shared" si="1"/>
        <v>46387</v>
      </c>
      <c r="AB3" s="14"/>
    </row>
    <row r="4" spans="1:28" ht="13.35" customHeight="1">
      <c r="A4" s="50" t="s">
        <v>5</v>
      </c>
      <c r="B4" s="141"/>
      <c r="C4" s="80"/>
      <c r="D4" s="93"/>
      <c r="E4" s="226"/>
      <c r="F4" s="89"/>
      <c r="G4" s="81"/>
      <c r="H4" s="82"/>
      <c r="I4" s="83"/>
      <c r="J4" s="361" t="str">
        <f t="shared" ref="J4:J44" si="2">IF(G4&lt;&gt;0,+G4-I4,"")</f>
        <v/>
      </c>
      <c r="K4" s="200">
        <v>1</v>
      </c>
      <c r="L4" s="133">
        <f>IF(B4&lt;$O$2,0,IF(B4&lt;$P$2,1,IF(B4&lt;$Q$2,2,IF(B4&lt;$R$2,3,IF(B4&lt;$S$2,4,IF(B4&lt;$T$2,5,IF(B4&lt;$U$2,6,IF(B4&lt;$V$2,7,IF(B4&lt;$W$2,8,IF(B4&lt;$X$2,9,IF(B4&lt;$Y$2,10,IF(B4&lt;$Z$2,11,IF(B4&lt;=$Z$3,12,0)))))))))))))</f>
        <v>0</v>
      </c>
      <c r="M4" s="135" t="s">
        <v>5</v>
      </c>
      <c r="N4" s="190">
        <f>+N10+AA12+AA16</f>
        <v>0</v>
      </c>
      <c r="O4" s="251" t="s">
        <v>36</v>
      </c>
      <c r="P4" s="251" t="s">
        <v>37</v>
      </c>
      <c r="Q4" s="251" t="s">
        <v>38</v>
      </c>
      <c r="R4" s="251" t="s">
        <v>39</v>
      </c>
      <c r="S4" s="251" t="s">
        <v>40</v>
      </c>
      <c r="T4" s="251" t="s">
        <v>41</v>
      </c>
      <c r="U4" s="251" t="s">
        <v>42</v>
      </c>
      <c r="V4" s="251" t="s">
        <v>43</v>
      </c>
      <c r="W4" s="251" t="s">
        <v>44</v>
      </c>
      <c r="X4" s="251" t="s">
        <v>45</v>
      </c>
      <c r="Y4" s="251" t="s">
        <v>46</v>
      </c>
      <c r="Z4" s="251" t="s">
        <v>47</v>
      </c>
      <c r="AA4" s="1209" t="s">
        <v>255</v>
      </c>
      <c r="AB4" s="1210"/>
    </row>
    <row r="5" spans="1:28" ht="13.35" customHeight="1">
      <c r="A5" s="50" t="s">
        <v>5</v>
      </c>
      <c r="B5" s="141"/>
      <c r="C5" s="80"/>
      <c r="D5" s="93"/>
      <c r="E5" s="226"/>
      <c r="F5" s="89"/>
      <c r="G5" s="81"/>
      <c r="H5" s="82"/>
      <c r="I5" s="83"/>
      <c r="J5" s="361" t="str">
        <f t="shared" si="2"/>
        <v/>
      </c>
      <c r="K5" s="200">
        <v>2</v>
      </c>
      <c r="L5" s="133">
        <f t="shared" ref="L5:L44" si="3">IF(B5&lt;$O$2,0,IF(B5&lt;$P$2,1,IF(B5&lt;$Q$2,2,IF(B5&lt;$R$2,3,IF(B5&lt;$S$2,4,IF(B5&lt;$T$2,5,IF(B5&lt;$U$2,6,IF(B5&lt;$V$2,7,IF(B5&lt;$W$2,8,IF(B5&lt;$X$2,9,IF(B5&lt;$Y$2,10,IF(B5&lt;$Z$2,11,IF(B5&lt;=$Z$3,12,0)))))))))))))</f>
        <v>0</v>
      </c>
      <c r="M5" s="135" t="s">
        <v>5</v>
      </c>
      <c r="O5" s="252">
        <f>SUMIFS($G$3:$G$47,$L$3:$L$47,1,$F$3:$F$47,"Konto")</f>
        <v>0</v>
      </c>
      <c r="P5" s="252">
        <f>SUMIFS($G$3:$G$47,$L$3:$L$47,2,$F$3:$F$47,"Konto")</f>
        <v>0</v>
      </c>
      <c r="Q5" s="252">
        <f>SUMIFS($G$3:$G$47,$L$3:$L$47,3,$F$3:$F$47,"Konto")</f>
        <v>0</v>
      </c>
      <c r="R5" s="252">
        <f>SUMIFS($G$3:$G$47,$L$3:$L$47,4,$F$3:$F$47,"Konto")</f>
        <v>0</v>
      </c>
      <c r="S5" s="252">
        <f>SUMIFS($G$3:$G$47,$L$3:$L$47,5,$F$3:$F$47,"Konto")</f>
        <v>0</v>
      </c>
      <c r="T5" s="252">
        <f>SUMIFS($G$3:$G$47,$L$3:$L$47,6,$F$3:$F$47,"Konto")</f>
        <v>0</v>
      </c>
      <c r="U5" s="252">
        <f>SUMIFS($G$3:$G$47,$L$3:$L$47,7,$F$3:$F$47,"Konto")</f>
        <v>0</v>
      </c>
      <c r="V5" s="252">
        <f>SUMIFS($G$3:$G$47,$L$3:$L$47,8,$F$3:$F$47,"Konto")</f>
        <v>0</v>
      </c>
      <c r="W5" s="252">
        <f>SUMIFS($G$3:$G$47,$L$3:$L$47,9,$F$3:$F$47,"Konto")</f>
        <v>0</v>
      </c>
      <c r="X5" s="252">
        <f>SUMIFS($G$3:$G$47,$L$3:$L$47,10,$F$3:$F$47,"Konto")</f>
        <v>0</v>
      </c>
      <c r="Y5" s="252">
        <f>SUMIFS($G$3:$G$47,$L$3:$L$47,11,$F$3:$F$47,"Konto")</f>
        <v>0</v>
      </c>
      <c r="Z5" s="252">
        <f>SUMIFS($G$3:$G$47,$L$3:$L$47,12,$F$3:$F$47,"Konto")</f>
        <v>0</v>
      </c>
      <c r="AA5" s="253">
        <f>SUM(O5:Z5)</f>
        <v>0</v>
      </c>
      <c r="AB5" s="254" t="s">
        <v>140</v>
      </c>
    </row>
    <row r="6" spans="1:28" ht="13.35" customHeight="1">
      <c r="A6" s="50" t="s">
        <v>5</v>
      </c>
      <c r="B6" s="141"/>
      <c r="C6" s="80"/>
      <c r="D6" s="93"/>
      <c r="E6" s="226"/>
      <c r="F6" s="89"/>
      <c r="G6" s="81"/>
      <c r="H6" s="82"/>
      <c r="I6" s="83"/>
      <c r="J6" s="361" t="str">
        <f t="shared" si="2"/>
        <v/>
      </c>
      <c r="K6" s="200">
        <v>3</v>
      </c>
      <c r="L6" s="133">
        <f t="shared" si="3"/>
        <v>0</v>
      </c>
      <c r="M6" s="135" t="s">
        <v>5</v>
      </c>
      <c r="N6" s="190"/>
      <c r="O6" s="252">
        <f>SUMIFS($G$3:$G$47,$L$3:$L$47,1,$F$3:$F$47,"Kreditkarte")</f>
        <v>0</v>
      </c>
      <c r="P6" s="252">
        <f>SUMIFS($G$3:$G$47,$L$3:$L$47,2,$F$3:$F$47,"Kreditkarte")</f>
        <v>0</v>
      </c>
      <c r="Q6" s="252">
        <f>SUMIFS($G$3:$G$47,$L$3:$L$47,3,$F$3:$F$47,"Kreditkarte")</f>
        <v>0</v>
      </c>
      <c r="R6" s="252">
        <f>SUMIFS($G$3:$G$47,$L$3:$L$47,4,$F$3:$F$47,"Kreditkarte")</f>
        <v>0</v>
      </c>
      <c r="S6" s="252">
        <f>SUMIFS($G$3:$G$47,$L$3:$L$47,5,$F$3:$F$47,"Kreditkarte")</f>
        <v>0</v>
      </c>
      <c r="T6" s="252">
        <f>SUMIFS($G$3:$G$47,$L$3:$L$47,6,$F$3:$F$47,"Kreditkarte")</f>
        <v>0</v>
      </c>
      <c r="U6" s="252">
        <f>SUMIFS($G$3:$G$47,$L$3:$L$47,7,$F$3:$F$47,"Kreditkarte")</f>
        <v>0</v>
      </c>
      <c r="V6" s="252">
        <f>SUMIFS($G$3:$G$47,$L$3:$L$47,8,$F$3:$F$47,"Kreditkarte")</f>
        <v>0</v>
      </c>
      <c r="W6" s="252">
        <f>SUMIFS($G$3:$G$47,$L$3:$L$47,9,$F$3:$F$47,"Kreditkarte")</f>
        <v>0</v>
      </c>
      <c r="X6" s="252">
        <f>SUMIFS($G$3:$G$47,$L$3:$L$47,10,$F$3:$F$47,"Kreditkarte")</f>
        <v>0</v>
      </c>
      <c r="Y6" s="252">
        <f>SUMIFS($G$3:$G$47,$L$3:$L$47,11,$F$3:$F$47,"Kreditkarte")</f>
        <v>0</v>
      </c>
      <c r="Z6" s="252">
        <f>SUMIFS($G$3:$G$47,$L$3:$L$47,12,$F$3:$F$47,"Kreditkarte")</f>
        <v>0</v>
      </c>
      <c r="AA6" s="255">
        <f t="shared" ref="AA6:AA8" si="4">SUM(O6:Z6)</f>
        <v>0</v>
      </c>
      <c r="AB6" s="256" t="s">
        <v>142</v>
      </c>
    </row>
    <row r="7" spans="1:28" ht="13.35" customHeight="1">
      <c r="A7" s="50" t="s">
        <v>5</v>
      </c>
      <c r="B7" s="141"/>
      <c r="C7" s="80"/>
      <c r="D7" s="93"/>
      <c r="E7" s="226"/>
      <c r="F7" s="89"/>
      <c r="G7" s="81"/>
      <c r="H7" s="82"/>
      <c r="I7" s="83"/>
      <c r="J7" s="361" t="str">
        <f t="shared" si="2"/>
        <v/>
      </c>
      <c r="K7" s="200">
        <v>4</v>
      </c>
      <c r="L7" s="133">
        <f t="shared" si="3"/>
        <v>0</v>
      </c>
      <c r="M7" s="135" t="s">
        <v>5</v>
      </c>
      <c r="O7" s="252">
        <f>SUMIFS($G$3:$G$47,$L$3:$L$47,1,$F$3:$F$47,"Geldbeutel")</f>
        <v>0</v>
      </c>
      <c r="P7" s="252">
        <f>SUMIFS($G$3:$G$47,$L$3:$L$47,2,$F$3:$F$47,"Geldbeutel")</f>
        <v>0</v>
      </c>
      <c r="Q7" s="252">
        <f>SUMIFS($G$3:$G$47,$L$3:$L$47,3,$F$3:$F$47,"Geldbeutel")</f>
        <v>0</v>
      </c>
      <c r="R7" s="252">
        <f>SUMIFS($G$3:$G$47,$L$3:$L$47,4,$F$3:$F$47,"Geldbeutel")</f>
        <v>0</v>
      </c>
      <c r="S7" s="252">
        <f>SUMIFS($G$3:$G$47,$L$3:$L$47,5,$F$3:$F$47,"Geldbeutel")</f>
        <v>0</v>
      </c>
      <c r="T7" s="252">
        <f>SUMIFS($G$3:$G$47,$L$3:$L$47,6,$F$3:$F$47,"Geldbeutel")</f>
        <v>0</v>
      </c>
      <c r="U7" s="252">
        <f>SUMIFS($G$3:$G$47,$L$3:$L$47,7,$F$3:$F$47,"Geldbeutel")</f>
        <v>0</v>
      </c>
      <c r="V7" s="252">
        <f>SUMIFS($G$3:$G$47,$L$3:$L$47,8,$F$3:$F$47,"Geldbeutel")</f>
        <v>0</v>
      </c>
      <c r="W7" s="252">
        <f>SUMIFS($G$3:$G$47,$L$3:$L$47,9,$F$3:$F$47,"Geldbeutel")</f>
        <v>0</v>
      </c>
      <c r="X7" s="252">
        <f>SUMIFS($G$3:$G$47,$L$3:$L$47,10,$F$3:$F$47,"Geldbeutel")</f>
        <v>0</v>
      </c>
      <c r="Y7" s="252">
        <f>SUMIFS($G$3:$G$47,$L$3:$L$47,11,$F$3:$F$47,"Geldbeutel")</f>
        <v>0</v>
      </c>
      <c r="Z7" s="252">
        <f>SUMIFS($G$3:$G$47,$L$3:$L$47,12,$F$3:$F$47,"Geldbeutel")</f>
        <v>0</v>
      </c>
      <c r="AA7" s="253">
        <f t="shared" si="4"/>
        <v>0</v>
      </c>
      <c r="AB7" s="254" t="s">
        <v>139</v>
      </c>
    </row>
    <row r="8" spans="1:28" ht="13.35" customHeight="1">
      <c r="A8" s="50" t="s">
        <v>5</v>
      </c>
      <c r="B8" s="141"/>
      <c r="C8" s="80"/>
      <c r="D8" s="93"/>
      <c r="E8" s="226"/>
      <c r="F8" s="89"/>
      <c r="G8" s="81"/>
      <c r="H8" s="82"/>
      <c r="I8" s="83"/>
      <c r="J8" s="361" t="str">
        <f t="shared" si="2"/>
        <v/>
      </c>
      <c r="K8" s="200">
        <v>5</v>
      </c>
      <c r="L8" s="133">
        <f t="shared" si="3"/>
        <v>0</v>
      </c>
      <c r="M8" s="135" t="s">
        <v>5</v>
      </c>
      <c r="O8" s="252">
        <f>SUMIFS($G$3:$G$47,$L$3:$L$47,1,$F$3:$F$47,"X")</f>
        <v>0</v>
      </c>
      <c r="P8" s="252">
        <f>SUMIFS($G$3:$G$47,$L$3:$L$47,2,$F$3:$F$47,"X")</f>
        <v>0</v>
      </c>
      <c r="Q8" s="252">
        <f>SUMIFS($G$3:$G$47,$L$3:$L$47,3,$F$3:$F$47,"X")</f>
        <v>0</v>
      </c>
      <c r="R8" s="252">
        <f>SUMIFS($G$3:$G$47,$L$3:$L$47,4,$F$3:$F$47,"X")</f>
        <v>0</v>
      </c>
      <c r="S8" s="252">
        <f>SUMIFS($G$3:$G$47,$L$3:$L$47,5,$F$3:$F$47,"X")</f>
        <v>0</v>
      </c>
      <c r="T8" s="252">
        <f>SUMIFS($G$3:$G$47,$L$3:$L$47,6,$F$3:$F$47,"X")</f>
        <v>0</v>
      </c>
      <c r="U8" s="252">
        <f>SUMIFS($G$3:$G$47,$L$3:$L$47,7,$F$3:$F$47,"X")</f>
        <v>0</v>
      </c>
      <c r="V8" s="252">
        <f>SUMIFS($G$3:$G$47,$L$3:$L$47,8,$F$3:$F$47,"X")</f>
        <v>0</v>
      </c>
      <c r="W8" s="252">
        <f>SUMIFS($G$3:$G$47,$L$3:$L$47,9,$F$3:$F$47,"X")</f>
        <v>0</v>
      </c>
      <c r="X8" s="252">
        <f>SUMIFS($G$3:$G$47,$L$3:$L$47,10,$F$3:$F$47,"X")</f>
        <v>0</v>
      </c>
      <c r="Y8" s="252">
        <f>SUMIFS($G$3:$G$47,$L$3:$L$47,11,$F$3:$F$47,"X")</f>
        <v>0</v>
      </c>
      <c r="Z8" s="252">
        <f>SUMIFS($G$3:$G$47,$L$3:$L$47,12,$F$3:$F$47,"X")</f>
        <v>0</v>
      </c>
      <c r="AA8" s="255">
        <f t="shared" si="4"/>
        <v>0</v>
      </c>
      <c r="AB8" s="256" t="s">
        <v>192</v>
      </c>
    </row>
    <row r="9" spans="1:28" ht="13.35" customHeight="1">
      <c r="A9" s="50" t="s">
        <v>5</v>
      </c>
      <c r="B9" s="141"/>
      <c r="C9" s="80"/>
      <c r="D9" s="93"/>
      <c r="E9" s="226"/>
      <c r="F9" s="89"/>
      <c r="G9" s="81"/>
      <c r="H9" s="82"/>
      <c r="I9" s="83"/>
      <c r="J9" s="361" t="str">
        <f t="shared" si="2"/>
        <v/>
      </c>
      <c r="K9" s="200">
        <v>6</v>
      </c>
      <c r="L9" s="133">
        <f t="shared" si="3"/>
        <v>0</v>
      </c>
      <c r="M9" s="135" t="s">
        <v>5</v>
      </c>
      <c r="N9" s="191">
        <f>IF(OR(AND(AA14&lt;&gt;0,B48="x"),(O14+AA13)&lt;&gt;H48),1,0)</f>
        <v>0</v>
      </c>
      <c r="O9" s="257">
        <f>SUM(O5:O8)</f>
        <v>0</v>
      </c>
      <c r="P9" s="257">
        <f t="shared" ref="P9:Z9" si="5">SUM(P5:P8)</f>
        <v>0</v>
      </c>
      <c r="Q9" s="257">
        <f t="shared" si="5"/>
        <v>0</v>
      </c>
      <c r="R9" s="257">
        <f t="shared" si="5"/>
        <v>0</v>
      </c>
      <c r="S9" s="257">
        <f t="shared" si="5"/>
        <v>0</v>
      </c>
      <c r="T9" s="257">
        <f t="shared" si="5"/>
        <v>0</v>
      </c>
      <c r="U9" s="257">
        <f t="shared" si="5"/>
        <v>0</v>
      </c>
      <c r="V9" s="257">
        <f t="shared" si="5"/>
        <v>0</v>
      </c>
      <c r="W9" s="257">
        <f t="shared" si="5"/>
        <v>0</v>
      </c>
      <c r="X9" s="257">
        <f t="shared" si="5"/>
        <v>0</v>
      </c>
      <c r="Y9" s="257">
        <f t="shared" si="5"/>
        <v>0</v>
      </c>
      <c r="Z9" s="257">
        <f t="shared" si="5"/>
        <v>0</v>
      </c>
      <c r="AA9" s="1211" t="s">
        <v>197</v>
      </c>
      <c r="AB9" s="1212"/>
    </row>
    <row r="10" spans="1:28" ht="13.35" customHeight="1">
      <c r="A10" s="50" t="s">
        <v>5</v>
      </c>
      <c r="B10" s="141"/>
      <c r="C10" s="80"/>
      <c r="D10" s="93"/>
      <c r="E10" s="226"/>
      <c r="F10" s="89"/>
      <c r="G10" s="81"/>
      <c r="H10" s="82"/>
      <c r="I10" s="83"/>
      <c r="J10" s="361" t="str">
        <f t="shared" si="2"/>
        <v/>
      </c>
      <c r="K10" s="200">
        <v>7</v>
      </c>
      <c r="L10" s="133">
        <f t="shared" si="3"/>
        <v>0</v>
      </c>
      <c r="M10" s="135" t="s">
        <v>5</v>
      </c>
      <c r="N10" s="259">
        <f>IF(O10+AA10&lt;&gt;G48,1,0)</f>
        <v>0</v>
      </c>
      <c r="O10" s="1230">
        <f>SUM(O5:Z8)</f>
        <v>0</v>
      </c>
      <c r="P10" s="1231"/>
      <c r="Q10" s="1231"/>
      <c r="R10" s="1231"/>
      <c r="S10" s="1231"/>
      <c r="T10" s="1231"/>
      <c r="U10" s="1231"/>
      <c r="V10" s="1231"/>
      <c r="W10" s="1231"/>
      <c r="X10" s="1231"/>
      <c r="Y10" s="1231"/>
      <c r="Z10" s="1232"/>
      <c r="AA10" s="292">
        <f>+G48-AA7-AA6-AA5-AA8</f>
        <v>0</v>
      </c>
      <c r="AB10" s="293" t="s">
        <v>205</v>
      </c>
    </row>
    <row r="11" spans="1:28" ht="13.35" customHeight="1">
      <c r="A11" s="50" t="s">
        <v>5</v>
      </c>
      <c r="B11" s="141"/>
      <c r="C11" s="80"/>
      <c r="D11" s="93"/>
      <c r="E11" s="226"/>
      <c r="F11" s="89"/>
      <c r="G11" s="81"/>
      <c r="H11" s="82"/>
      <c r="I11" s="83"/>
      <c r="J11" s="361" t="str">
        <f t="shared" si="2"/>
        <v/>
      </c>
      <c r="K11" s="200">
        <v>8</v>
      </c>
      <c r="L11" s="133">
        <f t="shared" si="3"/>
        <v>0</v>
      </c>
      <c r="M11" s="135" t="s">
        <v>5</v>
      </c>
      <c r="O11" s="1219" t="str">
        <f>IF(N4&gt;0,"Fehler!","")</f>
        <v/>
      </c>
      <c r="P11" s="1219"/>
      <c r="Q11" s="1219"/>
      <c r="R11" s="1219"/>
      <c r="S11" s="1219"/>
      <c r="T11" s="1219"/>
      <c r="U11" s="1219"/>
      <c r="V11" s="1219"/>
      <c r="W11" s="1219"/>
      <c r="X11" s="1219"/>
      <c r="Y11" s="1219"/>
      <c r="Z11" s="1219"/>
    </row>
    <row r="12" spans="1:28" ht="13.35" customHeight="1">
      <c r="A12" s="50" t="s">
        <v>5</v>
      </c>
      <c r="B12" s="141"/>
      <c r="C12" s="80"/>
      <c r="D12" s="93"/>
      <c r="E12" s="226"/>
      <c r="F12" s="89"/>
      <c r="G12" s="81"/>
      <c r="H12" s="82"/>
      <c r="I12" s="83"/>
      <c r="J12" s="361" t="str">
        <f t="shared" si="2"/>
        <v/>
      </c>
      <c r="K12" s="200">
        <v>9</v>
      </c>
      <c r="L12" s="133">
        <f t="shared" si="3"/>
        <v>0</v>
      </c>
      <c r="M12" s="135" t="s">
        <v>5</v>
      </c>
      <c r="O12" s="203" t="s">
        <v>36</v>
      </c>
      <c r="P12" s="203" t="s">
        <v>37</v>
      </c>
      <c r="Q12" s="203" t="s">
        <v>38</v>
      </c>
      <c r="R12" s="203" t="s">
        <v>39</v>
      </c>
      <c r="S12" s="203" t="s">
        <v>40</v>
      </c>
      <c r="T12" s="203" t="s">
        <v>41</v>
      </c>
      <c r="U12" s="203" t="s">
        <v>42</v>
      </c>
      <c r="V12" s="203" t="s">
        <v>43</v>
      </c>
      <c r="W12" s="203" t="s">
        <v>44</v>
      </c>
      <c r="X12" s="203" t="s">
        <v>45</v>
      </c>
      <c r="Y12" s="203" t="s">
        <v>46</v>
      </c>
      <c r="Z12" s="203" t="s">
        <v>47</v>
      </c>
      <c r="AA12" s="221">
        <f>IF(O14+AA13&lt;&gt;H48,1,0)</f>
        <v>0</v>
      </c>
    </row>
    <row r="13" spans="1:28" ht="13.35" customHeight="1">
      <c r="A13" s="50" t="s">
        <v>5</v>
      </c>
      <c r="B13" s="141"/>
      <c r="C13" s="80"/>
      <c r="D13" s="93"/>
      <c r="E13" s="226"/>
      <c r="F13" s="89"/>
      <c r="G13" s="81"/>
      <c r="H13" s="82"/>
      <c r="I13" s="83"/>
      <c r="J13" s="361" t="str">
        <f t="shared" si="2"/>
        <v/>
      </c>
      <c r="K13" s="200">
        <v>10</v>
      </c>
      <c r="L13" s="133">
        <f t="shared" si="3"/>
        <v>0</v>
      </c>
      <c r="M13" s="135" t="s">
        <v>5</v>
      </c>
      <c r="O13" s="187">
        <f>SUMIF($L$3:$L$47,1,$I$3:$I$47)</f>
        <v>0</v>
      </c>
      <c r="P13" s="187">
        <f>SUMIF($L$3:$L$47,2,$I$3:$I$47)</f>
        <v>0</v>
      </c>
      <c r="Q13" s="187">
        <f>SUMIF($L$3:$L$47,3,$I$3:$I$47)</f>
        <v>0</v>
      </c>
      <c r="R13" s="187">
        <f>SUMIF($L$3:$L$47,4,$I$3:$I$47)</f>
        <v>0</v>
      </c>
      <c r="S13" s="187">
        <f>SUMIF($L$3:$L$47,5,$I$3:$I$47)</f>
        <v>0</v>
      </c>
      <c r="T13" s="187">
        <f>SUMIF($L$3:$L$47,6,$I$3:$I$47)</f>
        <v>0</v>
      </c>
      <c r="U13" s="187">
        <f>SUMIF($L$3:$L$47,7,$I$3:$I$47)</f>
        <v>0</v>
      </c>
      <c r="V13" s="187">
        <f>SUMIF($L$3:$L$47,8,$I$3:$I$47)</f>
        <v>0</v>
      </c>
      <c r="W13" s="187">
        <f>SUMIF($L$3:$L$47,9,$I$3:$I$47)</f>
        <v>0</v>
      </c>
      <c r="X13" s="187">
        <f>SUMIF($L$3:$L$47,10,$I$3:$I$47)</f>
        <v>0</v>
      </c>
      <c r="Y13" s="187">
        <f>SUMIF($L$3:$L$47,11,$I$3:$I$47)</f>
        <v>0</v>
      </c>
      <c r="Z13" s="187">
        <f>SUMIF($L$3:$L$47,12,$I$3:$I$47)</f>
        <v>0</v>
      </c>
      <c r="AA13" s="1220">
        <f>SUMIF($L$3:$L$47,0,$I$3:$I$47)</f>
        <v>0</v>
      </c>
      <c r="AB13" s="1221"/>
    </row>
    <row r="14" spans="1:28" ht="13.35" customHeight="1">
      <c r="A14" s="50" t="s">
        <v>5</v>
      </c>
      <c r="B14" s="141"/>
      <c r="C14" s="80"/>
      <c r="D14" s="93"/>
      <c r="E14" s="226"/>
      <c r="F14" s="89"/>
      <c r="G14" s="81"/>
      <c r="H14" s="82"/>
      <c r="I14" s="83"/>
      <c r="J14" s="361" t="str">
        <f t="shared" si="2"/>
        <v/>
      </c>
      <c r="K14" s="200">
        <v>11</v>
      </c>
      <c r="L14" s="133">
        <f t="shared" si="3"/>
        <v>0</v>
      </c>
      <c r="M14" s="135" t="s">
        <v>5</v>
      </c>
      <c r="O14" s="1299">
        <f>SUM(O13:Z13)</f>
        <v>0</v>
      </c>
      <c r="P14" s="1300"/>
      <c r="Q14" s="1300"/>
      <c r="R14" s="1300"/>
      <c r="S14" s="1300"/>
      <c r="T14" s="1300"/>
      <c r="U14" s="1300"/>
      <c r="V14" s="1300"/>
      <c r="W14" s="1300"/>
      <c r="X14" s="1300"/>
      <c r="Y14" s="1300"/>
      <c r="Z14" s="1301"/>
      <c r="AA14" s="1222">
        <f>SUM(O13:Z13)+AA13</f>
        <v>0</v>
      </c>
      <c r="AB14" s="1223"/>
    </row>
    <row r="15" spans="1:28" ht="13.35" customHeight="1">
      <c r="A15" s="50" t="s">
        <v>5</v>
      </c>
      <c r="B15" s="141"/>
      <c r="C15" s="260"/>
      <c r="D15" s="93"/>
      <c r="E15" s="226"/>
      <c r="F15" s="89"/>
      <c r="G15" s="81"/>
      <c r="H15" s="82"/>
      <c r="I15" s="83"/>
      <c r="J15" s="361" t="str">
        <f t="shared" si="2"/>
        <v/>
      </c>
      <c r="K15" s="200">
        <v>12</v>
      </c>
      <c r="L15" s="133">
        <f t="shared" si="3"/>
        <v>0</v>
      </c>
      <c r="M15" s="135" t="s">
        <v>5</v>
      </c>
      <c r="O15" s="244"/>
      <c r="P15" s="244"/>
      <c r="Q15" s="244"/>
      <c r="R15" s="244"/>
      <c r="S15" s="244"/>
      <c r="T15" s="244"/>
      <c r="U15" s="244"/>
      <c r="V15" s="244"/>
      <c r="W15" s="244"/>
      <c r="X15" s="244"/>
      <c r="Y15" s="244"/>
      <c r="Z15" s="244"/>
      <c r="AA15" s="244"/>
      <c r="AB15" s="244"/>
    </row>
    <row r="16" spans="1:28" ht="13.35" customHeight="1">
      <c r="A16" s="50" t="s">
        <v>5</v>
      </c>
      <c r="B16" s="141"/>
      <c r="C16" s="80"/>
      <c r="D16" s="93"/>
      <c r="E16" s="226"/>
      <c r="F16" s="89"/>
      <c r="G16" s="81"/>
      <c r="H16" s="82"/>
      <c r="I16" s="83"/>
      <c r="J16" s="361" t="str">
        <f t="shared" si="2"/>
        <v/>
      </c>
      <c r="K16" s="200">
        <v>13</v>
      </c>
      <c r="L16" s="133">
        <f t="shared" si="3"/>
        <v>0</v>
      </c>
      <c r="M16" s="135" t="s">
        <v>5</v>
      </c>
      <c r="O16" s="244"/>
      <c r="P16" s="244"/>
      <c r="Q16" s="244"/>
      <c r="R16" s="244"/>
      <c r="S16" s="244"/>
      <c r="T16" s="244"/>
      <c r="U16" s="244"/>
      <c r="V16" s="244"/>
      <c r="W16" s="244"/>
      <c r="X16" s="244"/>
      <c r="Y16" s="244"/>
      <c r="Z16" s="244"/>
      <c r="AA16" s="244"/>
      <c r="AB16" s="244"/>
    </row>
    <row r="17" spans="1:28" ht="13.35" customHeight="1">
      <c r="A17" s="50" t="s">
        <v>5</v>
      </c>
      <c r="B17" s="141"/>
      <c r="C17" s="80"/>
      <c r="D17" s="93"/>
      <c r="E17" s="226"/>
      <c r="F17" s="89"/>
      <c r="G17" s="81"/>
      <c r="H17" s="82"/>
      <c r="I17" s="83"/>
      <c r="J17" s="361" t="str">
        <f t="shared" si="2"/>
        <v/>
      </c>
      <c r="K17" s="200">
        <v>14</v>
      </c>
      <c r="L17" s="133">
        <f t="shared" si="3"/>
        <v>0</v>
      </c>
      <c r="M17" s="135" t="s">
        <v>5</v>
      </c>
      <c r="O17" s="244"/>
      <c r="P17" s="244"/>
      <c r="Q17" s="244"/>
      <c r="R17" s="244"/>
      <c r="S17" s="244"/>
      <c r="T17" s="244"/>
      <c r="U17" s="244"/>
      <c r="V17" s="244"/>
      <c r="W17" s="244"/>
      <c r="X17" s="244"/>
      <c r="Y17" s="244"/>
      <c r="Z17" s="244"/>
      <c r="AA17" s="244"/>
      <c r="AB17" s="244"/>
    </row>
    <row r="18" spans="1:28" ht="13.35" customHeight="1">
      <c r="A18" s="50" t="s">
        <v>5</v>
      </c>
      <c r="B18" s="141"/>
      <c r="C18" s="80"/>
      <c r="D18" s="93"/>
      <c r="E18" s="226"/>
      <c r="F18" s="89"/>
      <c r="G18" s="81"/>
      <c r="H18" s="82"/>
      <c r="I18" s="83"/>
      <c r="J18" s="361" t="str">
        <f t="shared" si="2"/>
        <v/>
      </c>
      <c r="K18" s="200">
        <v>15</v>
      </c>
      <c r="L18" s="133">
        <f t="shared" si="3"/>
        <v>0</v>
      </c>
      <c r="M18" s="135" t="s">
        <v>5</v>
      </c>
      <c r="O18" s="244"/>
      <c r="P18" s="244"/>
      <c r="Q18" s="244"/>
      <c r="R18" s="244"/>
      <c r="S18" s="244"/>
      <c r="T18" s="244"/>
      <c r="U18" s="244"/>
      <c r="V18" s="244"/>
      <c r="W18" s="244"/>
      <c r="X18" s="244"/>
      <c r="Y18" s="244"/>
      <c r="Z18" s="244"/>
      <c r="AA18" s="244"/>
      <c r="AB18" s="244"/>
    </row>
    <row r="19" spans="1:28" ht="13.35" customHeight="1">
      <c r="A19" s="50" t="s">
        <v>5</v>
      </c>
      <c r="B19" s="141"/>
      <c r="C19" s="80"/>
      <c r="D19" s="93"/>
      <c r="E19" s="226"/>
      <c r="F19" s="89"/>
      <c r="G19" s="81"/>
      <c r="H19" s="82"/>
      <c r="I19" s="83"/>
      <c r="J19" s="361" t="str">
        <f t="shared" si="2"/>
        <v/>
      </c>
      <c r="K19" s="200">
        <v>16</v>
      </c>
      <c r="L19" s="133">
        <f t="shared" si="3"/>
        <v>0</v>
      </c>
      <c r="M19" s="135" t="s">
        <v>5</v>
      </c>
      <c r="O19" s="244"/>
      <c r="P19" s="244"/>
      <c r="Q19" s="244"/>
      <c r="R19" s="244"/>
      <c r="S19" s="244"/>
      <c r="T19" s="244"/>
      <c r="U19" s="244"/>
      <c r="V19" s="244"/>
      <c r="W19" s="244"/>
      <c r="X19" s="244"/>
      <c r="Y19" s="244"/>
      <c r="Z19" s="244"/>
      <c r="AA19" s="244"/>
      <c r="AB19" s="244"/>
    </row>
    <row r="20" spans="1:28" ht="13.35" customHeight="1">
      <c r="A20" s="50" t="s">
        <v>5</v>
      </c>
      <c r="B20" s="141"/>
      <c r="C20" s="80"/>
      <c r="D20" s="93"/>
      <c r="E20" s="226"/>
      <c r="F20" s="89"/>
      <c r="G20" s="81"/>
      <c r="H20" s="82"/>
      <c r="I20" s="83"/>
      <c r="J20" s="361" t="str">
        <f t="shared" si="2"/>
        <v/>
      </c>
      <c r="K20" s="200">
        <v>17</v>
      </c>
      <c r="L20" s="133">
        <f t="shared" si="3"/>
        <v>0</v>
      </c>
      <c r="M20" s="135" t="s">
        <v>5</v>
      </c>
      <c r="O20" s="244"/>
      <c r="P20" s="244"/>
      <c r="Q20" s="244"/>
      <c r="R20" s="244"/>
      <c r="S20" s="244"/>
      <c r="T20" s="244"/>
      <c r="U20" s="244"/>
      <c r="V20" s="244"/>
      <c r="W20" s="244"/>
      <c r="X20" s="244"/>
      <c r="Y20" s="244"/>
      <c r="Z20" s="244"/>
      <c r="AA20" s="244"/>
      <c r="AB20" s="244"/>
    </row>
    <row r="21" spans="1:28" ht="13.35" customHeight="1">
      <c r="A21" s="50" t="s">
        <v>5</v>
      </c>
      <c r="B21" s="141"/>
      <c r="C21" s="80"/>
      <c r="D21" s="93"/>
      <c r="E21" s="226"/>
      <c r="F21" s="89"/>
      <c r="G21" s="81"/>
      <c r="H21" s="82"/>
      <c r="I21" s="83"/>
      <c r="J21" s="361" t="str">
        <f t="shared" si="2"/>
        <v/>
      </c>
      <c r="K21" s="200">
        <v>18</v>
      </c>
      <c r="L21" s="133">
        <f t="shared" si="3"/>
        <v>0</v>
      </c>
      <c r="M21" s="135" t="s">
        <v>5</v>
      </c>
      <c r="O21" s="244"/>
      <c r="P21" s="244"/>
      <c r="Q21" s="244"/>
      <c r="R21" s="244"/>
      <c r="S21" s="244"/>
      <c r="T21" s="244"/>
      <c r="U21" s="244"/>
      <c r="V21" s="244"/>
      <c r="W21" s="244"/>
      <c r="X21" s="244"/>
      <c r="Y21" s="244"/>
      <c r="Z21" s="244"/>
      <c r="AA21" s="244"/>
      <c r="AB21" s="244"/>
    </row>
    <row r="22" spans="1:28" ht="13.35" customHeight="1">
      <c r="A22" s="50" t="s">
        <v>5</v>
      </c>
      <c r="B22" s="141"/>
      <c r="C22" s="80"/>
      <c r="D22" s="93"/>
      <c r="E22" s="226"/>
      <c r="F22" s="89"/>
      <c r="G22" s="81"/>
      <c r="H22" s="82"/>
      <c r="I22" s="83"/>
      <c r="J22" s="361" t="str">
        <f t="shared" si="2"/>
        <v/>
      </c>
      <c r="K22" s="200">
        <v>19</v>
      </c>
      <c r="L22" s="133">
        <f t="shared" si="3"/>
        <v>0</v>
      </c>
      <c r="M22" s="135" t="s">
        <v>5</v>
      </c>
      <c r="O22" s="244"/>
      <c r="P22" s="244"/>
      <c r="Q22" s="244"/>
      <c r="R22" s="244"/>
      <c r="S22" s="244"/>
      <c r="T22" s="244"/>
      <c r="U22" s="244"/>
      <c r="V22" s="244"/>
      <c r="W22" s="244"/>
      <c r="X22" s="244"/>
      <c r="Y22" s="244"/>
      <c r="Z22" s="244"/>
      <c r="AA22" s="244"/>
      <c r="AB22" s="244"/>
    </row>
    <row r="23" spans="1:28" ht="13.35" customHeight="1">
      <c r="A23" s="50" t="s">
        <v>5</v>
      </c>
      <c r="B23" s="141"/>
      <c r="C23" s="80"/>
      <c r="D23" s="94"/>
      <c r="E23" s="226"/>
      <c r="F23" s="89"/>
      <c r="G23" s="81"/>
      <c r="H23" s="82"/>
      <c r="I23" s="83"/>
      <c r="J23" s="361" t="str">
        <f t="shared" si="2"/>
        <v/>
      </c>
      <c r="K23" s="200">
        <v>20</v>
      </c>
      <c r="L23" s="133">
        <f t="shared" si="3"/>
        <v>0</v>
      </c>
      <c r="M23" s="135" t="s">
        <v>5</v>
      </c>
      <c r="O23" s="244"/>
      <c r="P23" s="244"/>
      <c r="Q23" s="244"/>
      <c r="R23" s="244"/>
      <c r="S23" s="244"/>
      <c r="T23" s="244"/>
      <c r="U23" s="244"/>
      <c r="V23" s="244"/>
      <c r="W23" s="244"/>
      <c r="X23" s="244"/>
      <c r="Y23" s="244"/>
      <c r="Z23" s="244"/>
      <c r="AA23" s="244"/>
      <c r="AB23" s="244"/>
    </row>
    <row r="24" spans="1:28" ht="13.35" customHeight="1">
      <c r="A24" s="50" t="s">
        <v>5</v>
      </c>
      <c r="B24" s="141"/>
      <c r="C24" s="80"/>
      <c r="D24" s="93"/>
      <c r="E24" s="226"/>
      <c r="F24" s="89"/>
      <c r="G24" s="81"/>
      <c r="H24" s="82"/>
      <c r="I24" s="83"/>
      <c r="J24" s="361" t="str">
        <f t="shared" si="2"/>
        <v/>
      </c>
      <c r="K24" s="200">
        <v>21</v>
      </c>
      <c r="L24" s="133">
        <f t="shared" si="3"/>
        <v>0</v>
      </c>
      <c r="M24" s="135" t="s">
        <v>5</v>
      </c>
      <c r="O24" s="244"/>
      <c r="P24" s="244"/>
      <c r="Q24" s="244"/>
      <c r="R24" s="244"/>
      <c r="S24" s="244"/>
      <c r="T24" s="244"/>
      <c r="U24" s="244"/>
      <c r="V24" s="244"/>
      <c r="W24" s="244"/>
      <c r="X24" s="244"/>
      <c r="Y24" s="244"/>
      <c r="Z24" s="244"/>
      <c r="AA24" s="244"/>
      <c r="AB24" s="244"/>
    </row>
    <row r="25" spans="1:28" ht="13.35" customHeight="1">
      <c r="A25" s="50" t="s">
        <v>5</v>
      </c>
      <c r="B25" s="141"/>
      <c r="C25" s="80"/>
      <c r="D25" s="93"/>
      <c r="E25" s="226"/>
      <c r="F25" s="89"/>
      <c r="G25" s="81"/>
      <c r="H25" s="82"/>
      <c r="I25" s="83"/>
      <c r="J25" s="361" t="str">
        <f t="shared" si="2"/>
        <v/>
      </c>
      <c r="K25" s="200">
        <v>22</v>
      </c>
      <c r="L25" s="133">
        <f t="shared" si="3"/>
        <v>0</v>
      </c>
      <c r="M25" s="135" t="s">
        <v>5</v>
      </c>
      <c r="O25" s="244"/>
      <c r="P25" s="244"/>
      <c r="Q25" s="244"/>
      <c r="R25" s="244"/>
      <c r="S25" s="244"/>
      <c r="T25" s="244"/>
      <c r="U25" s="244"/>
      <c r="V25" s="244"/>
      <c r="W25" s="244"/>
      <c r="X25" s="244"/>
      <c r="Y25" s="244"/>
      <c r="Z25" s="244"/>
      <c r="AA25" s="244"/>
      <c r="AB25" s="244"/>
    </row>
    <row r="26" spans="1:28" ht="13.35" customHeight="1">
      <c r="A26" s="50" t="s">
        <v>5</v>
      </c>
      <c r="B26" s="141"/>
      <c r="C26" s="80"/>
      <c r="D26" s="93"/>
      <c r="E26" s="226"/>
      <c r="F26" s="89"/>
      <c r="G26" s="81"/>
      <c r="H26" s="82"/>
      <c r="I26" s="83"/>
      <c r="J26" s="361" t="str">
        <f t="shared" si="2"/>
        <v/>
      </c>
      <c r="K26" s="200">
        <v>23</v>
      </c>
      <c r="L26" s="133">
        <f t="shared" si="3"/>
        <v>0</v>
      </c>
      <c r="M26" s="135" t="s">
        <v>5</v>
      </c>
      <c r="O26" s="244"/>
      <c r="P26" s="244"/>
      <c r="Q26" s="244"/>
      <c r="R26" s="244"/>
      <c r="S26" s="244"/>
      <c r="T26" s="244"/>
      <c r="U26" s="244"/>
      <c r="V26" s="244"/>
      <c r="W26" s="244"/>
      <c r="X26" s="244"/>
      <c r="Y26" s="244"/>
      <c r="Z26" s="244"/>
      <c r="AA26" s="244"/>
      <c r="AB26" s="244"/>
    </row>
    <row r="27" spans="1:28" ht="13.35" customHeight="1">
      <c r="A27" s="50" t="s">
        <v>5</v>
      </c>
      <c r="B27" s="141"/>
      <c r="C27" s="80"/>
      <c r="D27" s="93"/>
      <c r="E27" s="226"/>
      <c r="F27" s="89"/>
      <c r="G27" s="81"/>
      <c r="H27" s="82"/>
      <c r="I27" s="83"/>
      <c r="J27" s="361" t="str">
        <f t="shared" si="2"/>
        <v/>
      </c>
      <c r="K27" s="200">
        <v>24</v>
      </c>
      <c r="L27" s="133">
        <f t="shared" si="3"/>
        <v>0</v>
      </c>
      <c r="M27" s="135" t="s">
        <v>5</v>
      </c>
      <c r="O27" s="244"/>
      <c r="P27" s="244"/>
      <c r="Q27" s="244"/>
      <c r="R27" s="244"/>
      <c r="S27" s="244"/>
      <c r="T27" s="244"/>
      <c r="U27" s="244"/>
      <c r="V27" s="244"/>
      <c r="W27" s="244"/>
      <c r="X27" s="244"/>
      <c r="Y27" s="244"/>
      <c r="Z27" s="244"/>
      <c r="AA27" s="244"/>
      <c r="AB27" s="244"/>
    </row>
    <row r="28" spans="1:28" ht="13.35" customHeight="1">
      <c r="A28" s="50" t="s">
        <v>5</v>
      </c>
      <c r="B28" s="141"/>
      <c r="C28" s="80"/>
      <c r="D28" s="93"/>
      <c r="E28" s="226"/>
      <c r="F28" s="89"/>
      <c r="G28" s="81"/>
      <c r="H28" s="82"/>
      <c r="I28" s="83"/>
      <c r="J28" s="361" t="str">
        <f t="shared" si="2"/>
        <v/>
      </c>
      <c r="K28" s="200">
        <v>25</v>
      </c>
      <c r="L28" s="133">
        <f t="shared" si="3"/>
        <v>0</v>
      </c>
      <c r="M28" s="135" t="s">
        <v>5</v>
      </c>
      <c r="O28" s="244"/>
      <c r="P28" s="244"/>
      <c r="Q28" s="244"/>
      <c r="R28" s="244"/>
      <c r="S28" s="244"/>
      <c r="T28" s="244"/>
      <c r="U28" s="244"/>
      <c r="V28" s="244"/>
      <c r="W28" s="244"/>
      <c r="X28" s="244"/>
      <c r="Y28" s="244"/>
      <c r="Z28" s="244"/>
      <c r="AA28" s="244"/>
      <c r="AB28" s="244"/>
    </row>
    <row r="29" spans="1:28" ht="13.35" customHeight="1">
      <c r="A29" s="50" t="s">
        <v>5</v>
      </c>
      <c r="B29" s="141"/>
      <c r="C29" s="80"/>
      <c r="D29" s="93"/>
      <c r="E29" s="226"/>
      <c r="F29" s="89"/>
      <c r="G29" s="81"/>
      <c r="H29" s="82"/>
      <c r="I29" s="83"/>
      <c r="J29" s="361" t="str">
        <f t="shared" si="2"/>
        <v/>
      </c>
      <c r="K29" s="200">
        <v>26</v>
      </c>
      <c r="L29" s="133">
        <f t="shared" si="3"/>
        <v>0</v>
      </c>
      <c r="M29" s="135" t="s">
        <v>5</v>
      </c>
      <c r="O29" s="244"/>
      <c r="P29" s="244"/>
      <c r="Q29" s="244"/>
      <c r="R29" s="244"/>
      <c r="S29" s="244"/>
      <c r="T29" s="244"/>
      <c r="U29" s="244"/>
      <c r="V29" s="244"/>
      <c r="W29" s="244"/>
      <c r="X29" s="244"/>
      <c r="Y29" s="244"/>
      <c r="Z29" s="244"/>
      <c r="AA29" s="244"/>
      <c r="AB29" s="244"/>
    </row>
    <row r="30" spans="1:28" ht="13.35" customHeight="1">
      <c r="A30" s="50" t="s">
        <v>5</v>
      </c>
      <c r="B30" s="141"/>
      <c r="C30" s="80"/>
      <c r="D30" s="93"/>
      <c r="E30" s="226"/>
      <c r="F30" s="89"/>
      <c r="G30" s="81"/>
      <c r="H30" s="82"/>
      <c r="I30" s="83"/>
      <c r="J30" s="361" t="str">
        <f t="shared" si="2"/>
        <v/>
      </c>
      <c r="K30" s="200">
        <v>27</v>
      </c>
      <c r="L30" s="133">
        <f t="shared" si="3"/>
        <v>0</v>
      </c>
      <c r="M30" s="135" t="s">
        <v>5</v>
      </c>
      <c r="O30" s="244"/>
      <c r="P30" s="244"/>
      <c r="Q30" s="244"/>
      <c r="R30" s="244"/>
      <c r="S30" s="244"/>
      <c r="T30" s="244"/>
      <c r="U30" s="244"/>
      <c r="V30" s="244"/>
      <c r="W30" s="244"/>
      <c r="X30" s="244"/>
      <c r="Y30" s="244"/>
      <c r="Z30" s="244"/>
      <c r="AA30" s="244"/>
      <c r="AB30" s="244"/>
    </row>
    <row r="31" spans="1:28" ht="13.35" customHeight="1">
      <c r="A31" s="50" t="s">
        <v>5</v>
      </c>
      <c r="B31" s="141"/>
      <c r="C31" s="80"/>
      <c r="D31" s="93"/>
      <c r="E31" s="226"/>
      <c r="F31" s="89"/>
      <c r="G31" s="81"/>
      <c r="H31" s="82"/>
      <c r="I31" s="83"/>
      <c r="J31" s="361" t="str">
        <f t="shared" si="2"/>
        <v/>
      </c>
      <c r="K31" s="200">
        <v>28</v>
      </c>
      <c r="L31" s="133">
        <f t="shared" si="3"/>
        <v>0</v>
      </c>
      <c r="M31" s="135" t="s">
        <v>5</v>
      </c>
      <c r="O31" s="244"/>
      <c r="P31" s="244"/>
      <c r="Q31" s="244"/>
      <c r="R31" s="244"/>
      <c r="S31" s="244"/>
      <c r="T31" s="244"/>
      <c r="U31" s="244"/>
      <c r="V31" s="244"/>
      <c r="W31" s="244"/>
      <c r="X31" s="244"/>
      <c r="Y31" s="244"/>
      <c r="Z31" s="244"/>
      <c r="AA31" s="244"/>
      <c r="AB31" s="244"/>
    </row>
    <row r="32" spans="1:28" ht="13.35" customHeight="1">
      <c r="A32" s="50" t="s">
        <v>5</v>
      </c>
      <c r="B32" s="141"/>
      <c r="C32" s="80"/>
      <c r="D32" s="93"/>
      <c r="E32" s="226"/>
      <c r="F32" s="89"/>
      <c r="G32" s="81"/>
      <c r="H32" s="82"/>
      <c r="I32" s="83"/>
      <c r="J32" s="361" t="str">
        <f t="shared" si="2"/>
        <v/>
      </c>
      <c r="K32" s="200">
        <v>29</v>
      </c>
      <c r="L32" s="133">
        <f t="shared" si="3"/>
        <v>0</v>
      </c>
      <c r="M32" s="135" t="s">
        <v>5</v>
      </c>
      <c r="O32" s="244"/>
      <c r="P32" s="244"/>
      <c r="Q32" s="244"/>
      <c r="R32" s="244"/>
      <c r="S32" s="244"/>
      <c r="T32" s="244"/>
      <c r="U32" s="244"/>
      <c r="V32" s="244"/>
      <c r="W32" s="244"/>
      <c r="X32" s="244"/>
      <c r="Y32" s="244"/>
      <c r="Z32" s="244"/>
      <c r="AA32" s="244"/>
      <c r="AB32" s="244"/>
    </row>
    <row r="33" spans="1:28" ht="13.35" customHeight="1">
      <c r="A33" s="50" t="s">
        <v>5</v>
      </c>
      <c r="B33" s="141"/>
      <c r="C33" s="80"/>
      <c r="D33" s="93"/>
      <c r="E33" s="226"/>
      <c r="F33" s="89"/>
      <c r="G33" s="81"/>
      <c r="H33" s="82"/>
      <c r="I33" s="83"/>
      <c r="J33" s="361" t="str">
        <f t="shared" si="2"/>
        <v/>
      </c>
      <c r="K33" s="200">
        <v>30</v>
      </c>
      <c r="L33" s="133">
        <f t="shared" si="3"/>
        <v>0</v>
      </c>
      <c r="M33" s="135" t="s">
        <v>5</v>
      </c>
      <c r="O33" s="244"/>
      <c r="P33" s="244"/>
      <c r="Q33" s="244"/>
      <c r="R33" s="244"/>
      <c r="S33" s="244"/>
      <c r="T33" s="244"/>
      <c r="U33" s="244"/>
      <c r="V33" s="244"/>
      <c r="W33" s="244"/>
      <c r="X33" s="244"/>
      <c r="Y33" s="244"/>
      <c r="Z33" s="244"/>
      <c r="AA33" s="244"/>
      <c r="AB33" s="244"/>
    </row>
    <row r="34" spans="1:28" ht="13.35" customHeight="1">
      <c r="A34" s="50" t="s">
        <v>5</v>
      </c>
      <c r="B34" s="141"/>
      <c r="C34" s="80"/>
      <c r="D34" s="93"/>
      <c r="E34" s="226"/>
      <c r="F34" s="89"/>
      <c r="G34" s="81"/>
      <c r="H34" s="82"/>
      <c r="I34" s="83"/>
      <c r="J34" s="361" t="str">
        <f t="shared" si="2"/>
        <v/>
      </c>
      <c r="K34" s="200">
        <v>31</v>
      </c>
      <c r="L34" s="133">
        <f t="shared" si="3"/>
        <v>0</v>
      </c>
      <c r="M34" s="135" t="s">
        <v>5</v>
      </c>
      <c r="O34" s="244"/>
      <c r="P34" s="244"/>
      <c r="Q34" s="244"/>
      <c r="R34" s="244"/>
      <c r="S34" s="244"/>
      <c r="T34" s="244"/>
      <c r="U34" s="244"/>
      <c r="V34" s="244"/>
      <c r="W34" s="244"/>
      <c r="X34" s="244"/>
      <c r="Y34" s="244"/>
      <c r="Z34" s="244"/>
      <c r="AA34" s="244"/>
      <c r="AB34" s="244"/>
    </row>
    <row r="35" spans="1:28" ht="13.35" customHeight="1">
      <c r="A35" s="50" t="s">
        <v>5</v>
      </c>
      <c r="B35" s="141"/>
      <c r="C35" s="80"/>
      <c r="D35" s="93"/>
      <c r="E35" s="226"/>
      <c r="F35" s="89"/>
      <c r="G35" s="81"/>
      <c r="H35" s="82"/>
      <c r="I35" s="83"/>
      <c r="J35" s="361" t="str">
        <f t="shared" si="2"/>
        <v/>
      </c>
      <c r="K35" s="200">
        <v>32</v>
      </c>
      <c r="L35" s="133">
        <f t="shared" si="3"/>
        <v>0</v>
      </c>
      <c r="M35" s="135" t="s">
        <v>5</v>
      </c>
      <c r="O35" s="244"/>
      <c r="P35" s="244"/>
      <c r="Q35" s="244"/>
      <c r="R35" s="244"/>
      <c r="S35" s="244"/>
      <c r="T35" s="244"/>
      <c r="U35" s="244"/>
      <c r="V35" s="244"/>
      <c r="W35" s="244"/>
      <c r="X35" s="244"/>
      <c r="Y35" s="244"/>
      <c r="Z35" s="244"/>
      <c r="AA35" s="244"/>
      <c r="AB35" s="244"/>
    </row>
    <row r="36" spans="1:28" ht="13.35" customHeight="1">
      <c r="A36" s="50" t="s">
        <v>5</v>
      </c>
      <c r="B36" s="141"/>
      <c r="C36" s="80"/>
      <c r="D36" s="93"/>
      <c r="E36" s="226"/>
      <c r="F36" s="89"/>
      <c r="G36" s="81"/>
      <c r="H36" s="82"/>
      <c r="I36" s="83"/>
      <c r="J36" s="361" t="str">
        <f t="shared" si="2"/>
        <v/>
      </c>
      <c r="K36" s="200">
        <v>33</v>
      </c>
      <c r="L36" s="133">
        <f t="shared" si="3"/>
        <v>0</v>
      </c>
      <c r="M36" s="135" t="s">
        <v>5</v>
      </c>
      <c r="O36" s="244"/>
      <c r="P36" s="244"/>
      <c r="Q36" s="244"/>
      <c r="R36" s="244"/>
      <c r="S36" s="244"/>
      <c r="T36" s="244"/>
      <c r="U36" s="244"/>
      <c r="V36" s="244"/>
      <c r="W36" s="244"/>
      <c r="X36" s="244"/>
      <c r="Y36" s="244"/>
      <c r="Z36" s="244"/>
      <c r="AA36" s="244"/>
      <c r="AB36" s="244"/>
    </row>
    <row r="37" spans="1:28" ht="13.35" customHeight="1">
      <c r="A37" s="50" t="s">
        <v>5</v>
      </c>
      <c r="B37" s="141"/>
      <c r="C37" s="80"/>
      <c r="D37" s="93"/>
      <c r="E37" s="226"/>
      <c r="F37" s="89"/>
      <c r="G37" s="81"/>
      <c r="H37" s="82"/>
      <c r="I37" s="83"/>
      <c r="J37" s="361" t="str">
        <f t="shared" si="2"/>
        <v/>
      </c>
      <c r="K37" s="200">
        <v>34</v>
      </c>
      <c r="L37" s="133">
        <f t="shared" si="3"/>
        <v>0</v>
      </c>
      <c r="M37" s="135" t="s">
        <v>5</v>
      </c>
      <c r="O37" s="244"/>
      <c r="P37" s="244"/>
      <c r="Q37" s="244"/>
      <c r="R37" s="244"/>
      <c r="S37" s="244"/>
      <c r="T37" s="244"/>
      <c r="U37" s="244"/>
      <c r="V37" s="244"/>
      <c r="W37" s="244"/>
      <c r="X37" s="244"/>
      <c r="Y37" s="244"/>
      <c r="Z37" s="244"/>
      <c r="AA37" s="244"/>
      <c r="AB37" s="244"/>
    </row>
    <row r="38" spans="1:28" ht="13.35" customHeight="1">
      <c r="A38" s="50" t="s">
        <v>5</v>
      </c>
      <c r="B38" s="141"/>
      <c r="C38" s="80"/>
      <c r="D38" s="93"/>
      <c r="E38" s="226"/>
      <c r="F38" s="89"/>
      <c r="G38" s="81"/>
      <c r="H38" s="82"/>
      <c r="I38" s="83"/>
      <c r="J38" s="361" t="str">
        <f t="shared" si="2"/>
        <v/>
      </c>
      <c r="K38" s="200">
        <v>35</v>
      </c>
      <c r="L38" s="133">
        <f t="shared" si="3"/>
        <v>0</v>
      </c>
      <c r="M38" s="135" t="s">
        <v>5</v>
      </c>
      <c r="O38" s="244"/>
      <c r="P38" s="244"/>
      <c r="Q38" s="244"/>
      <c r="R38" s="244"/>
      <c r="S38" s="244"/>
      <c r="T38" s="244"/>
      <c r="U38" s="244"/>
      <c r="V38" s="244"/>
      <c r="W38" s="244"/>
      <c r="X38" s="244"/>
      <c r="Y38" s="244"/>
      <c r="Z38" s="244"/>
      <c r="AA38" s="244"/>
      <c r="AB38" s="244"/>
    </row>
    <row r="39" spans="1:28" ht="13.35" customHeight="1">
      <c r="A39" s="50" t="s">
        <v>5</v>
      </c>
      <c r="B39" s="141"/>
      <c r="C39" s="80"/>
      <c r="D39" s="93"/>
      <c r="E39" s="226"/>
      <c r="F39" s="89"/>
      <c r="G39" s="81"/>
      <c r="H39" s="82"/>
      <c r="I39" s="83"/>
      <c r="J39" s="361" t="str">
        <f t="shared" si="2"/>
        <v/>
      </c>
      <c r="K39" s="200">
        <v>36</v>
      </c>
      <c r="L39" s="133">
        <f t="shared" si="3"/>
        <v>0</v>
      </c>
      <c r="M39" s="135" t="s">
        <v>5</v>
      </c>
      <c r="O39" s="244"/>
      <c r="P39" s="244"/>
      <c r="Q39" s="244"/>
      <c r="R39" s="244"/>
      <c r="S39" s="244"/>
      <c r="T39" s="244"/>
      <c r="U39" s="244"/>
      <c r="V39" s="244"/>
      <c r="W39" s="244"/>
      <c r="X39" s="244"/>
      <c r="Y39" s="244"/>
      <c r="Z39" s="244"/>
      <c r="AA39" s="244"/>
      <c r="AB39" s="244"/>
    </row>
    <row r="40" spans="1:28" ht="13.35" customHeight="1">
      <c r="A40" s="50" t="s">
        <v>5</v>
      </c>
      <c r="B40" s="141"/>
      <c r="C40" s="80"/>
      <c r="D40" s="93"/>
      <c r="E40" s="226"/>
      <c r="F40" s="89"/>
      <c r="G40" s="81"/>
      <c r="H40" s="82"/>
      <c r="I40" s="83"/>
      <c r="J40" s="361" t="str">
        <f t="shared" si="2"/>
        <v/>
      </c>
      <c r="K40" s="200">
        <v>37</v>
      </c>
      <c r="L40" s="133">
        <f t="shared" si="3"/>
        <v>0</v>
      </c>
      <c r="M40" s="135" t="s">
        <v>5</v>
      </c>
      <c r="O40" s="244"/>
      <c r="P40" s="244"/>
      <c r="Q40" s="244"/>
      <c r="R40" s="244"/>
      <c r="S40" s="244"/>
      <c r="T40" s="244"/>
      <c r="U40" s="244"/>
      <c r="V40" s="244"/>
      <c r="W40" s="244"/>
      <c r="X40" s="244"/>
      <c r="Y40" s="244"/>
      <c r="Z40" s="244"/>
      <c r="AA40" s="244"/>
      <c r="AB40" s="244"/>
    </row>
    <row r="41" spans="1:28" ht="13.35" customHeight="1">
      <c r="A41" s="50" t="s">
        <v>5</v>
      </c>
      <c r="B41" s="141"/>
      <c r="C41" s="80"/>
      <c r="D41" s="93"/>
      <c r="E41" s="226"/>
      <c r="F41" s="89"/>
      <c r="G41" s="81"/>
      <c r="H41" s="82"/>
      <c r="I41" s="83"/>
      <c r="J41" s="361" t="str">
        <f t="shared" si="2"/>
        <v/>
      </c>
      <c r="K41" s="200">
        <v>38</v>
      </c>
      <c r="L41" s="133">
        <f t="shared" si="3"/>
        <v>0</v>
      </c>
      <c r="M41" s="135" t="s">
        <v>5</v>
      </c>
      <c r="O41" s="244"/>
      <c r="P41" s="244"/>
      <c r="Q41" s="244"/>
      <c r="R41" s="244"/>
      <c r="S41" s="244"/>
      <c r="T41" s="244"/>
      <c r="U41" s="244"/>
      <c r="V41" s="244"/>
      <c r="W41" s="244"/>
      <c r="X41" s="244"/>
      <c r="Y41" s="244"/>
      <c r="Z41" s="244"/>
      <c r="AA41" s="244"/>
      <c r="AB41" s="244"/>
    </row>
    <row r="42" spans="1:28" ht="13.35" customHeight="1">
      <c r="A42" s="50" t="s">
        <v>5</v>
      </c>
      <c r="B42" s="141"/>
      <c r="C42" s="80"/>
      <c r="D42" s="93"/>
      <c r="E42" s="226"/>
      <c r="F42" s="89"/>
      <c r="G42" s="81"/>
      <c r="H42" s="82"/>
      <c r="I42" s="83"/>
      <c r="J42" s="361" t="str">
        <f t="shared" si="2"/>
        <v/>
      </c>
      <c r="K42" s="200">
        <v>39</v>
      </c>
      <c r="L42" s="133">
        <f t="shared" si="3"/>
        <v>0</v>
      </c>
      <c r="M42" s="135" t="s">
        <v>5</v>
      </c>
      <c r="O42" s="244"/>
      <c r="P42" s="244"/>
      <c r="Q42" s="244"/>
      <c r="R42" s="244"/>
      <c r="S42" s="244"/>
      <c r="T42" s="244"/>
      <c r="U42" s="244"/>
      <c r="V42" s="244"/>
      <c r="W42" s="244"/>
      <c r="X42" s="244"/>
      <c r="Y42" s="244"/>
      <c r="Z42" s="244"/>
      <c r="AA42" s="244"/>
      <c r="AB42" s="244"/>
    </row>
    <row r="43" spans="1:28" ht="13.35" customHeight="1">
      <c r="A43" s="50" t="s">
        <v>5</v>
      </c>
      <c r="B43" s="141"/>
      <c r="C43" s="80"/>
      <c r="D43" s="93"/>
      <c r="E43" s="226"/>
      <c r="F43" s="89"/>
      <c r="G43" s="81"/>
      <c r="H43" s="82"/>
      <c r="I43" s="83"/>
      <c r="J43" s="361" t="str">
        <f t="shared" si="2"/>
        <v/>
      </c>
      <c r="K43" s="200">
        <v>40</v>
      </c>
      <c r="L43" s="133">
        <f t="shared" si="3"/>
        <v>0</v>
      </c>
      <c r="M43" s="135" t="s">
        <v>5</v>
      </c>
      <c r="O43" s="244"/>
      <c r="P43" s="244"/>
      <c r="Q43" s="244"/>
      <c r="R43" s="244"/>
      <c r="S43" s="244"/>
      <c r="T43" s="244"/>
      <c r="U43" s="244"/>
      <c r="V43" s="244"/>
      <c r="W43" s="244"/>
      <c r="X43" s="244"/>
      <c r="Y43" s="244"/>
      <c r="Z43" s="244"/>
      <c r="AA43" s="244"/>
      <c r="AB43" s="244"/>
    </row>
    <row r="44" spans="1:28" ht="13.35" customHeight="1">
      <c r="A44" s="50" t="s">
        <v>5</v>
      </c>
      <c r="B44" s="141"/>
      <c r="C44" s="80"/>
      <c r="D44" s="93"/>
      <c r="E44" s="226"/>
      <c r="F44" s="89"/>
      <c r="G44" s="81"/>
      <c r="H44" s="82"/>
      <c r="I44" s="83"/>
      <c r="J44" s="361" t="str">
        <f t="shared" si="2"/>
        <v/>
      </c>
      <c r="K44" s="200">
        <v>41</v>
      </c>
      <c r="L44" s="133">
        <f t="shared" si="3"/>
        <v>0</v>
      </c>
      <c r="M44" s="135" t="s">
        <v>5</v>
      </c>
      <c r="O44" s="244"/>
      <c r="P44" s="244"/>
      <c r="Q44" s="244"/>
      <c r="R44" s="244"/>
      <c r="S44" s="244"/>
      <c r="T44" s="244"/>
      <c r="U44" s="244"/>
      <c r="V44" s="244"/>
      <c r="W44" s="244"/>
      <c r="X44" s="244"/>
      <c r="Y44" s="244"/>
      <c r="Z44" s="244"/>
      <c r="AA44" s="244"/>
      <c r="AB44" s="244"/>
    </row>
    <row r="45" spans="1:28" ht="13.35" customHeight="1">
      <c r="A45" s="50" t="s">
        <v>5</v>
      </c>
      <c r="B45" s="141"/>
      <c r="C45" s="80"/>
      <c r="D45" s="93"/>
      <c r="E45" s="226"/>
      <c r="F45" s="89"/>
      <c r="G45" s="81"/>
      <c r="H45" s="82"/>
      <c r="I45" s="83"/>
      <c r="J45" s="361" t="str">
        <f t="shared" ref="J45:J46" si="6">IF(G45&lt;&gt;0,+G45-I45,"")</f>
        <v/>
      </c>
      <c r="K45" s="200">
        <v>44</v>
      </c>
      <c r="L45" s="133">
        <f t="shared" ref="L45:L46" si="7">IF(B45&lt;$O$2,0,IF(B45&lt;$P$2,1,IF(B45&lt;$Q$2,2,IF(B45&lt;$R$2,3,IF(B45&lt;$S$2,4,IF(B45&lt;$T$2,5,IF(B45&lt;$U$2,6,IF(B45&lt;$V$2,7,IF(B45&lt;$W$2,8,IF(B45&lt;$X$2,9,IF(B45&lt;$Y$2,10,IF(B45&lt;$Z$2,11,IF(B45&lt;=$Z$3,12,0)))))))))))))</f>
        <v>0</v>
      </c>
      <c r="M45" s="135" t="s">
        <v>5</v>
      </c>
      <c r="O45" s="244"/>
      <c r="P45" s="244"/>
      <c r="Q45" s="244"/>
      <c r="R45" s="244"/>
      <c r="S45" s="244"/>
      <c r="T45" s="244"/>
      <c r="U45" s="244"/>
      <c r="V45" s="244"/>
      <c r="W45" s="244"/>
      <c r="X45" s="244"/>
      <c r="Y45" s="244"/>
      <c r="Z45" s="244"/>
      <c r="AA45" s="244"/>
      <c r="AB45" s="244"/>
    </row>
    <row r="46" spans="1:28" ht="13.35" customHeight="1" thickBot="1">
      <c r="A46" s="50" t="s">
        <v>5</v>
      </c>
      <c r="B46" s="141"/>
      <c r="C46" s="80"/>
      <c r="D46" s="93"/>
      <c r="E46" s="226"/>
      <c r="F46" s="89"/>
      <c r="G46" s="81"/>
      <c r="H46" s="82"/>
      <c r="I46" s="83"/>
      <c r="J46" s="361" t="str">
        <f t="shared" si="6"/>
        <v/>
      </c>
      <c r="K46" s="200">
        <v>45</v>
      </c>
      <c r="L46" s="133">
        <f t="shared" si="7"/>
        <v>0</v>
      </c>
      <c r="M46" s="135" t="s">
        <v>5</v>
      </c>
      <c r="O46" s="244"/>
      <c r="P46" s="244"/>
      <c r="Q46" s="244"/>
      <c r="R46" s="244"/>
      <c r="S46" s="244"/>
      <c r="T46" s="244"/>
      <c r="U46" s="244"/>
      <c r="V46" s="244"/>
      <c r="W46" s="244"/>
      <c r="X46" s="244"/>
      <c r="Y46" s="244"/>
      <c r="Z46" s="244"/>
      <c r="AA46" s="244"/>
      <c r="AB46" s="244"/>
    </row>
    <row r="47" spans="1:28" ht="12" customHeight="1" thickTop="1" thickBot="1">
      <c r="A47" s="391" t="s">
        <v>283</v>
      </c>
      <c r="B47" s="1244" t="str">
        <f>IF($A$48=0,"^ Zeile einfügen","bis hierher ziehen!")</f>
        <v>^ Zeile einfügen</v>
      </c>
      <c r="C47" s="1244"/>
      <c r="D47" s="392" t="s">
        <v>5</v>
      </c>
      <c r="E47" s="393" t="s">
        <v>5</v>
      </c>
      <c r="F47" s="394" t="s">
        <v>5</v>
      </c>
      <c r="G47" s="394"/>
      <c r="H47" s="395"/>
      <c r="I47" s="396"/>
      <c r="J47" s="425"/>
      <c r="K47" s="201">
        <v>0</v>
      </c>
      <c r="L47" s="185" t="s">
        <v>5</v>
      </c>
      <c r="M47" s="398" t="s">
        <v>283</v>
      </c>
    </row>
    <row r="48" spans="1:28" ht="12" customHeight="1" thickTop="1" thickBot="1">
      <c r="A48" s="390">
        <f>COUNTBLANK(A3:A47)+A49</f>
        <v>0</v>
      </c>
      <c r="B48" s="193" t="str">
        <f>+EÜR!C46</f>
        <v>ü</v>
      </c>
      <c r="C48" s="194" t="s">
        <v>5</v>
      </c>
      <c r="D48" s="194" t="s">
        <v>5</v>
      </c>
      <c r="E48" s="195" t="s">
        <v>5</v>
      </c>
      <c r="F48" s="196" t="s">
        <v>5</v>
      </c>
      <c r="G48" s="197">
        <f>SUBTOTAL(9,G3:G47)</f>
        <v>0</v>
      </c>
      <c r="H48" s="1242">
        <f>SUBTOTAL(9,I3:I47)</f>
        <v>0</v>
      </c>
      <c r="I48" s="1243">
        <f>SUBTOTAL(9,I3:I47)</f>
        <v>0</v>
      </c>
      <c r="J48" s="1293">
        <f>G48-H48</f>
        <v>0</v>
      </c>
      <c r="K48" s="1294"/>
      <c r="L48" s="1295"/>
      <c r="M48" s="135" t="s">
        <v>5</v>
      </c>
    </row>
    <row r="49" spans="1:14" ht="12" customHeight="1" thickTop="1" thickBot="1">
      <c r="A49" s="390">
        <f>IF(ISERROR(J47),1,0)</f>
        <v>0</v>
      </c>
      <c r="B49" s="192">
        <f>J48-G49-E49-C49</f>
        <v>0</v>
      </c>
      <c r="C49" s="1239">
        <f>SUMIF(F4:F47,"Kreditkarte",G4:G47)</f>
        <v>0</v>
      </c>
      <c r="D49" s="1239"/>
      <c r="E49" s="1240">
        <f>SUMIF(F4:F47,"Konto",G4:G47)</f>
        <v>0</v>
      </c>
      <c r="F49" s="1240"/>
      <c r="G49" s="1241">
        <f>SUMIF(F4:F47,"Geldbeutel",G4:G47)</f>
        <v>0</v>
      </c>
      <c r="H49" s="1241"/>
      <c r="I49" s="1241"/>
      <c r="J49" s="1296"/>
      <c r="K49" s="1297"/>
      <c r="L49" s="1298"/>
      <c r="M49" s="135" t="s">
        <v>5</v>
      </c>
    </row>
    <row r="50" spans="1:14" s="15" customFormat="1" ht="5.25" customHeight="1" thickTop="1">
      <c r="A50" s="36"/>
      <c r="B50" s="2"/>
      <c r="C50" s="3"/>
      <c r="D50" s="3"/>
      <c r="E50" s="1"/>
      <c r="G50" s="16"/>
      <c r="H50" s="16"/>
      <c r="I50" s="17"/>
      <c r="J50" s="18"/>
      <c r="K50" s="18"/>
      <c r="L50" s="31"/>
      <c r="N50" s="148"/>
    </row>
    <row r="51" spans="1:14">
      <c r="A51" s="36"/>
    </row>
  </sheetData>
  <sheetProtection formatCells="0" insertRows="0" deleteRows="0" selectLockedCells="1" sort="0" autoFilter="0"/>
  <mergeCells count="15">
    <mergeCell ref="C2:I2"/>
    <mergeCell ref="J2:L2"/>
    <mergeCell ref="AA9:AB9"/>
    <mergeCell ref="O10:Z10"/>
    <mergeCell ref="O11:Z11"/>
    <mergeCell ref="AA4:AB4"/>
    <mergeCell ref="AA13:AB13"/>
    <mergeCell ref="O14:Z14"/>
    <mergeCell ref="AA14:AB14"/>
    <mergeCell ref="J48:L49"/>
    <mergeCell ref="C49:D49"/>
    <mergeCell ref="E49:F49"/>
    <mergeCell ref="G49:I49"/>
    <mergeCell ref="H48:I48"/>
    <mergeCell ref="B47:C47"/>
  </mergeCells>
  <conditionalFormatting sqref="A4:A46">
    <cfRule type="expression" dxfId="480" priority="17">
      <formula>ISERROR(J4)</formula>
    </cfRule>
    <cfRule type="cellIs" dxfId="479" priority="18" operator="equal">
      <formula>""</formula>
    </cfRule>
  </conditionalFormatting>
  <conditionalFormatting sqref="A47:C47">
    <cfRule type="expression" dxfId="478" priority="8">
      <formula>$A$48&lt;&gt;0</formula>
    </cfRule>
  </conditionalFormatting>
  <conditionalFormatting sqref="B2">
    <cfRule type="expression" dxfId="477" priority="44" stopIfTrue="1">
      <formula>$B$48="x"</formula>
    </cfRule>
  </conditionalFormatting>
  <conditionalFormatting sqref="B4:B46">
    <cfRule type="cellIs" dxfId="474" priority="31" operator="equal">
      <formula>""</formula>
    </cfRule>
  </conditionalFormatting>
  <conditionalFormatting sqref="B48">
    <cfRule type="cellIs" dxfId="473" priority="69" operator="equal">
      <formula>"y"</formula>
    </cfRule>
  </conditionalFormatting>
  <conditionalFormatting sqref="B3:J3">
    <cfRule type="expression" dxfId="472" priority="9481">
      <formula>$B$48="x"</formula>
    </cfRule>
  </conditionalFormatting>
  <conditionalFormatting sqref="B4:J46">
    <cfRule type="expression" dxfId="471" priority="27">
      <formula>$B$1="x"</formula>
    </cfRule>
  </conditionalFormatting>
  <conditionalFormatting sqref="B3:L3">
    <cfRule type="expression" dxfId="470" priority="63">
      <formula>$B$48="x"</formula>
    </cfRule>
  </conditionalFormatting>
  <conditionalFormatting sqref="C4:D46">
    <cfRule type="expression" dxfId="469" priority="34">
      <formula>AND($B4&lt;&gt;"",$C4="")</formula>
    </cfRule>
  </conditionalFormatting>
  <conditionalFormatting sqref="C49:I49">
    <cfRule type="cellIs" dxfId="468" priority="68" stopIfTrue="1" operator="lessThan">
      <formula>0</formula>
    </cfRule>
    <cfRule type="cellIs" dxfId="467" priority="66" stopIfTrue="1" operator="greaterThanOrEqual">
      <formula>0</formula>
    </cfRule>
  </conditionalFormatting>
  <conditionalFormatting sqref="D47:J47">
    <cfRule type="expression" dxfId="466" priority="10">
      <formula>$A$48&lt;&gt;0</formula>
    </cfRule>
  </conditionalFormatting>
  <conditionalFormatting sqref="H4:H46">
    <cfRule type="expression" dxfId="465" priority="30">
      <formula>AND(G4&lt;&gt;"",H4="",$I$1&lt;&gt;"x")</formula>
    </cfRule>
  </conditionalFormatting>
  <conditionalFormatting sqref="H4:I46">
    <cfRule type="expression" dxfId="464" priority="28">
      <formula>AND($I4&lt;&gt;0,$I$1&lt;&gt;"ü")</formula>
    </cfRule>
    <cfRule type="expression" dxfId="463" priority="29">
      <formula>$I$1&lt;&gt;"ü"</formula>
    </cfRule>
  </conditionalFormatting>
  <conditionalFormatting sqref="J48:L48 C49:L49 C48:H48">
    <cfRule type="expression" dxfId="461" priority="65">
      <formula>$B$48="x"</formula>
    </cfRule>
  </conditionalFormatting>
  <conditionalFormatting sqref="J48:L49">
    <cfRule type="expression" dxfId="460" priority="64">
      <formula>AND($B$48="x",$J$48&lt;&gt;0)</formula>
    </cfRule>
  </conditionalFormatting>
  <conditionalFormatting sqref="K4:L46">
    <cfRule type="expression" dxfId="459" priority="15714">
      <formula>$B$48="x"</formula>
    </cfRule>
  </conditionalFormatting>
  <conditionalFormatting sqref="M3">
    <cfRule type="cellIs" dxfId="458" priority="26" operator="equal">
      <formula>""</formula>
    </cfRule>
  </conditionalFormatting>
  <conditionalFormatting sqref="M4:M46">
    <cfRule type="expression" dxfId="457" priority="24">
      <formula>ISERROR(J4)</formula>
    </cfRule>
    <cfRule type="cellIs" dxfId="456" priority="25" operator="equal">
      <formula>""</formula>
    </cfRule>
  </conditionalFormatting>
  <conditionalFormatting sqref="M47">
    <cfRule type="expression" dxfId="455" priority="9">
      <formula>$A$48&lt;&gt;0</formula>
    </cfRule>
  </conditionalFormatting>
  <conditionalFormatting sqref="M47:M49">
    <cfRule type="cellIs" dxfId="454" priority="12" operator="equal">
      <formula>""</formula>
    </cfRule>
  </conditionalFormatting>
  <conditionalFormatting sqref="N10:AB10">
    <cfRule type="expression" dxfId="453" priority="7">
      <formula>$N$2=0</formula>
    </cfRule>
  </conditionalFormatting>
  <conditionalFormatting sqref="O11:Z11">
    <cfRule type="cellIs" dxfId="452" priority="50" operator="equal">
      <formula>"Fehler!"</formula>
    </cfRule>
  </conditionalFormatting>
  <conditionalFormatting sqref="O4:AA4">
    <cfRule type="expression" dxfId="448" priority="43">
      <formula>$N$2=0</formula>
    </cfRule>
  </conditionalFormatting>
  <conditionalFormatting sqref="O2:AB3">
    <cfRule type="expression" dxfId="446" priority="2">
      <formula>$N$2=0</formula>
    </cfRule>
  </conditionalFormatting>
  <conditionalFormatting sqref="O5:AB8 O9:AA9">
    <cfRule type="expression" dxfId="445" priority="49">
      <formula>$N$2=0</formula>
    </cfRule>
  </conditionalFormatting>
  <conditionalFormatting sqref="O11:AB14">
    <cfRule type="expression" dxfId="444" priority="1">
      <formula>$N$2=0</formula>
    </cfRule>
  </conditionalFormatting>
  <conditionalFormatting sqref="O47:AB49">
    <cfRule type="expression" dxfId="443" priority="11">
      <formula>$N$2=0</formula>
    </cfRule>
  </conditionalFormatting>
  <dataValidations count="2">
    <dataValidation type="list" allowBlank="1" showInputMessage="1" showErrorMessage="1" sqref="H4:H46" xr:uid="{9C63D5B5-20E5-436B-9553-2B32D2A06F3D}">
      <formula1>"19,7,0,~"</formula1>
    </dataValidation>
    <dataValidation type="list" allowBlank="1" showInputMessage="1" showErrorMessage="1" sqref="F4:F46" xr:uid="{7CB36DF2-B072-4353-BD6D-D1A30D448D55}">
      <formula1>"Konto,Geldbeutel,Kreditkarte,x"</formula1>
    </dataValidation>
  </dataValidations>
  <hyperlinks>
    <hyperlink ref="J2" location="'2022 EÜR'!A1" display="Menü" xr:uid="{1A3239F8-C6E0-4F83-A91A-5D809887B8EE}"/>
    <hyperlink ref="J2:L2" location="EÜR!A1" display="EÜR" xr:uid="{D9E77059-26D0-4388-93EA-6366347BD4F2}"/>
  </hyperlinks>
  <printOptions horizontalCentered="1"/>
  <pageMargins left="0" right="0" top="0" bottom="0.31496062992125984" header="0" footer="0"/>
  <pageSetup paperSize="9" orientation="portrait" r:id="rId1"/>
  <headerFooter>
    <oddFooter>&amp;L&amp;"Arial,Standard"&amp;8Datei: &amp;Z&amp;F/&amp;A&amp;C&amp;"Arial,Standard"&amp;8Seite &amp;P von &amp;N&amp;R&amp;"Arial,Standard"&amp;8Druck: &amp;D&amp;T Uhr</oddFooter>
  </headerFooter>
  <extLst>
    <ext xmlns:x14="http://schemas.microsoft.com/office/spreadsheetml/2009/9/main" uri="{78C0D931-6437-407d-A8EE-F0AAD7539E65}">
      <x14:conditionalFormattings>
        <x14:conditionalFormatting xmlns:xm="http://schemas.microsoft.com/office/excel/2006/main">
          <x14:cfRule type="cellIs" priority="32" operator="greaterThan" id="{8676B9B0-7797-4147-A9AE-4D1037C15A8B}">
            <xm:f>EÜR!$I$78</xm:f>
            <x14:dxf>
              <font>
                <b/>
                <i val="0"/>
                <color rgb="FFFFFF00"/>
              </font>
              <fill>
                <patternFill>
                  <bgColor rgb="FFC00000"/>
                </patternFill>
              </fill>
            </x14:dxf>
          </x14:cfRule>
          <x14:cfRule type="cellIs" priority="33" operator="lessThan" id="{C8B81386-CBE7-4DA9-B237-A0D293DC03B2}">
            <xm:f>EÜR!$I$77</xm:f>
            <x14:dxf>
              <font>
                <b/>
                <i val="0"/>
                <color rgb="FFFFFF00"/>
              </font>
              <fill>
                <patternFill>
                  <bgColor rgb="FFC00000"/>
                </patternFill>
              </fill>
            </x14:dxf>
          </x14:cfRule>
          <xm:sqref>B4:B46</xm:sqref>
        </x14:conditionalFormatting>
        <x14:conditionalFormatting xmlns:xm="http://schemas.microsoft.com/office/excel/2006/main">
          <x14:cfRule type="expression" priority="47" id="{39DCFF69-0921-4BE6-BDD8-AD7779CA9462}">
            <xm:f>AND(EÜR!$J$66&lt;&gt;"ü",$H$48&lt;&gt;0)</xm:f>
            <x14:dxf>
              <font>
                <b/>
                <i val="0"/>
                <color rgb="FFFFFF00"/>
              </font>
              <fill>
                <patternFill>
                  <bgColor rgb="FFFF0000"/>
                </patternFill>
              </fill>
            </x14:dxf>
          </x14:cfRule>
          <xm:sqref>H48:I48</xm:sqref>
        </x14:conditionalFormatting>
        <x14:conditionalFormatting xmlns:xm="http://schemas.microsoft.com/office/excel/2006/main">
          <x14:cfRule type="expression" priority="51" id="{3461F014-F042-4BF2-B1A8-C8D3F00B55A3}">
            <xm:f>AND(O13&lt;&gt;0,U!L36="!",U!L37="!")</xm:f>
            <x14:dxf>
              <font>
                <b/>
                <i val="0"/>
                <color rgb="FFFF0000"/>
              </font>
              <fill>
                <patternFill>
                  <bgColor rgb="FFFFCCCC"/>
                </patternFill>
              </fill>
            </x14:dxf>
          </x14:cfRule>
          <x14:cfRule type="expression" priority="52" id="{7B5B8E29-561D-47B4-95C5-677D388E4D9A}">
            <xm:f>U!L37&lt;&gt;"!"</xm:f>
            <x14:dxf>
              <font>
                <b/>
                <i val="0"/>
                <color rgb="FF006666"/>
              </font>
              <fill>
                <patternFill>
                  <bgColor theme="6" tint="0.39994506668294322"/>
                </patternFill>
              </fill>
            </x14:dxf>
          </x14:cfRule>
          <x14:cfRule type="expression" priority="53" id="{757886B8-5242-4FFB-A0D6-1458BADAAE0B}">
            <xm:f>U!L36&lt;&gt;"!"</xm:f>
            <x14:dxf>
              <font>
                <b/>
                <i val="0"/>
                <color theme="9" tint="-0.499984740745262"/>
              </font>
              <fill>
                <patternFill>
                  <bgColor rgb="FFFFFF99"/>
                </patternFill>
              </fill>
            </x14:dxf>
          </x14:cfRule>
          <xm:sqref>O13:Z13</xm:sqref>
        </x14:conditionalFormatting>
        <x14:conditionalFormatting xmlns:xm="http://schemas.microsoft.com/office/excel/2006/main">
          <x14:cfRule type="expression" priority="3" id="{C834EAF4-1319-4887-89D6-522B3D7AEFC5}">
            <xm:f>EÜR!$J$66="-"</xm:f>
            <x14:dxf>
              <font>
                <b/>
                <i val="0"/>
                <color theme="0"/>
              </font>
              <fill>
                <patternFill>
                  <bgColor theme="0"/>
                </patternFill>
              </fill>
              <border>
                <left/>
                <right/>
                <top/>
                <bottom/>
              </border>
            </x14:dxf>
          </x14:cfRule>
          <xm:sqref>O12:AA14</xm:sqref>
        </x14:conditionalFormatting>
      </x14:conditionalFormattings>
    </ext>
  </extLst>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F52ACD-B883-4375-A837-D2667A78E639}">
  <sheetPr codeName="Tabelle35">
    <tabColor theme="9" tint="0.39997558519241921"/>
    <pageSetUpPr autoPageBreaks="0"/>
  </sheetPr>
  <dimension ref="A1:AB51"/>
  <sheetViews>
    <sheetView showGridLines="0" showRowColHeaders="0" zoomScaleNormal="100" workbookViewId="0">
      <pane ySplit="3" topLeftCell="A4" activePane="bottomLeft" state="frozen"/>
      <selection activeCell="F4" sqref="F4:F46"/>
      <selection pane="bottomLeft" activeCell="A4" sqref="A4"/>
    </sheetView>
  </sheetViews>
  <sheetFormatPr baseColWidth="10" defaultColWidth="9.77734375" defaultRowHeight="12.75"/>
  <cols>
    <col min="1" max="1" width="0.77734375" style="12" customWidth="1"/>
    <col min="2" max="2" width="7.6640625" style="30" customWidth="1"/>
    <col min="3" max="3" width="21.6640625" style="24" customWidth="1"/>
    <col min="4" max="4" width="7.6640625" style="24" customWidth="1"/>
    <col min="5" max="5" width="6.6640625" style="25" customWidth="1"/>
    <col min="6" max="6" width="9.6640625" style="26" customWidth="1"/>
    <col min="7" max="7" width="9.6640625" style="27" customWidth="1"/>
    <col min="8" max="8" width="2.6640625" style="28" customWidth="1"/>
    <col min="9" max="9" width="6.6640625" style="29" customWidth="1"/>
    <col min="10" max="10" width="9.6640625" style="27" customWidth="1"/>
    <col min="11" max="11" width="2.5546875" style="27" hidden="1" customWidth="1"/>
    <col min="12" max="12" width="1.5546875" style="32" hidden="1" customWidth="1"/>
    <col min="13" max="13" width="0.77734375" style="13" customWidth="1"/>
    <col min="14" max="14" width="1.77734375" style="147" customWidth="1"/>
    <col min="15" max="26" width="8.77734375" style="13" customWidth="1"/>
    <col min="27" max="27" width="10.33203125" style="13" customWidth="1"/>
    <col min="28" max="28" width="8.33203125" style="13" customWidth="1"/>
    <col min="29" max="16384" width="9.77734375" style="13"/>
  </cols>
  <sheetData>
    <row r="1" spans="1:28" s="37" customFormat="1" ht="3" customHeight="1" thickBot="1">
      <c r="A1" s="36"/>
      <c r="B1" s="53" t="str">
        <f>+B48</f>
        <v>ü</v>
      </c>
      <c r="C1" s="54">
        <f>+C49</f>
        <v>0</v>
      </c>
      <c r="D1" s="54"/>
      <c r="E1" s="53">
        <f>+E49</f>
        <v>0</v>
      </c>
      <c r="F1" s="53"/>
      <c r="G1" s="54">
        <f>+G49</f>
        <v>0</v>
      </c>
      <c r="H1" s="53"/>
      <c r="I1" s="338" t="str">
        <f>+EÜR!J66</f>
        <v>-</v>
      </c>
      <c r="J1" s="54">
        <f>+J48</f>
        <v>0</v>
      </c>
      <c r="K1" s="198"/>
      <c r="L1" s="56"/>
      <c r="N1" s="190"/>
    </row>
    <row r="2" spans="1:28" ht="23.1" customHeight="1" thickTop="1" thickBot="1">
      <c r="A2" s="36"/>
      <c r="B2" s="296" t="str">
        <f>+EÜR!D47</f>
        <v>A26</v>
      </c>
      <c r="C2" s="1290" t="str">
        <f>+EÜR!F47</f>
        <v>Aufwendungen für Tätigkeiten in der Wohnung</v>
      </c>
      <c r="D2" s="1291"/>
      <c r="E2" s="1291"/>
      <c r="F2" s="1291"/>
      <c r="G2" s="1291"/>
      <c r="H2" s="1291"/>
      <c r="I2" s="1292"/>
      <c r="J2" s="1227" t="s">
        <v>8</v>
      </c>
      <c r="K2" s="1228"/>
      <c r="L2" s="1229"/>
      <c r="M2" s="134"/>
      <c r="N2" s="190">
        <f>IF(OR(B48="x",N3=1),0,1)</f>
        <v>1</v>
      </c>
      <c r="O2" s="188">
        <f>+EOMONTH(EÜR!$I$3,-1)+1</f>
        <v>46023</v>
      </c>
      <c r="P2" s="188">
        <f t="shared" ref="P2:Z2" si="0">+O3+1</f>
        <v>46054</v>
      </c>
      <c r="Q2" s="188">
        <f t="shared" si="0"/>
        <v>46082</v>
      </c>
      <c r="R2" s="188">
        <f t="shared" si="0"/>
        <v>46113</v>
      </c>
      <c r="S2" s="188">
        <f t="shared" si="0"/>
        <v>46143</v>
      </c>
      <c r="T2" s="188">
        <f t="shared" si="0"/>
        <v>46174</v>
      </c>
      <c r="U2" s="188">
        <f t="shared" si="0"/>
        <v>46204</v>
      </c>
      <c r="V2" s="188">
        <f t="shared" si="0"/>
        <v>46235</v>
      </c>
      <c r="W2" s="188">
        <f t="shared" si="0"/>
        <v>46266</v>
      </c>
      <c r="X2" s="188">
        <f t="shared" si="0"/>
        <v>46296</v>
      </c>
      <c r="Y2" s="188">
        <f t="shared" si="0"/>
        <v>46327</v>
      </c>
      <c r="Z2" s="188">
        <f t="shared" si="0"/>
        <v>46357</v>
      </c>
      <c r="AA2" s="48"/>
    </row>
    <row r="3" spans="1:28" ht="14.25" customHeight="1" thickTop="1">
      <c r="A3" s="36" t="s">
        <v>5</v>
      </c>
      <c r="B3" s="58" t="s">
        <v>1</v>
      </c>
      <c r="C3" s="59" t="s">
        <v>6</v>
      </c>
      <c r="D3" s="60"/>
      <c r="E3" s="310" t="s">
        <v>7</v>
      </c>
      <c r="F3" s="61" t="s">
        <v>4</v>
      </c>
      <c r="G3" s="62" t="s">
        <v>31</v>
      </c>
      <c r="H3" s="63" t="s">
        <v>33</v>
      </c>
      <c r="I3" s="64" t="s">
        <v>32</v>
      </c>
      <c r="J3" s="275" t="s">
        <v>34</v>
      </c>
      <c r="K3" s="199">
        <v>0</v>
      </c>
      <c r="L3" s="65" t="s">
        <v>5</v>
      </c>
      <c r="M3" s="135" t="s">
        <v>5</v>
      </c>
      <c r="N3" s="222">
        <f>IF(SUBTOTAL(109,K3:K47)&lt;&gt;SUM(K3:K47),1,0)</f>
        <v>0</v>
      </c>
      <c r="O3" s="189">
        <f>EOMONTH(O2,0)</f>
        <v>46053</v>
      </c>
      <c r="P3" s="189">
        <f t="shared" ref="P3:Z3" si="1">EOMONTH(P2,0)</f>
        <v>46081</v>
      </c>
      <c r="Q3" s="189">
        <f t="shared" si="1"/>
        <v>46112</v>
      </c>
      <c r="R3" s="189">
        <f t="shared" si="1"/>
        <v>46142</v>
      </c>
      <c r="S3" s="189">
        <f t="shared" si="1"/>
        <v>46173</v>
      </c>
      <c r="T3" s="189">
        <f t="shared" si="1"/>
        <v>46203</v>
      </c>
      <c r="U3" s="189">
        <f t="shared" si="1"/>
        <v>46234</v>
      </c>
      <c r="V3" s="189">
        <f t="shared" si="1"/>
        <v>46265</v>
      </c>
      <c r="W3" s="189">
        <f t="shared" si="1"/>
        <v>46295</v>
      </c>
      <c r="X3" s="189">
        <f t="shared" si="1"/>
        <v>46326</v>
      </c>
      <c r="Y3" s="189">
        <f t="shared" si="1"/>
        <v>46356</v>
      </c>
      <c r="Z3" s="189">
        <f t="shared" si="1"/>
        <v>46387</v>
      </c>
      <c r="AB3" s="14"/>
    </row>
    <row r="4" spans="1:28" ht="13.35" customHeight="1">
      <c r="A4" s="50" t="s">
        <v>5</v>
      </c>
      <c r="B4" s="141"/>
      <c r="C4" s="80"/>
      <c r="D4" s="93"/>
      <c r="E4" s="226"/>
      <c r="F4" s="89"/>
      <c r="G4" s="81"/>
      <c r="H4" s="82"/>
      <c r="I4" s="83" t="str">
        <f t="shared" ref="I4:I44" si="2">IF(G4&lt;&gt;"",+G4-G4/(1+H4/100),"")</f>
        <v/>
      </c>
      <c r="J4" s="361" t="str">
        <f t="shared" ref="J4:J44" si="3">IF(G4&lt;&gt;0,+G4-I4,"")</f>
        <v/>
      </c>
      <c r="K4" s="200">
        <v>1</v>
      </c>
      <c r="L4" s="133">
        <f>IF(B4&lt;$O$2,0,IF(B4&lt;$P$2,1,IF(B4&lt;$Q$2,2,IF(B4&lt;$R$2,3,IF(B4&lt;$S$2,4,IF(B4&lt;$T$2,5,IF(B4&lt;$U$2,6,IF(B4&lt;$V$2,7,IF(B4&lt;$W$2,8,IF(B4&lt;$X$2,9,IF(B4&lt;$Y$2,10,IF(B4&lt;$Z$2,11,IF(B4&lt;=$Z$3,12,0)))))))))))))</f>
        <v>0</v>
      </c>
      <c r="M4" s="135" t="s">
        <v>5</v>
      </c>
      <c r="N4" s="190">
        <f>+N10+AA12+AA16</f>
        <v>0</v>
      </c>
      <c r="O4" s="251" t="s">
        <v>36</v>
      </c>
      <c r="P4" s="251" t="s">
        <v>37</v>
      </c>
      <c r="Q4" s="251" t="s">
        <v>38</v>
      </c>
      <c r="R4" s="251" t="s">
        <v>39</v>
      </c>
      <c r="S4" s="251" t="s">
        <v>40</v>
      </c>
      <c r="T4" s="251" t="s">
        <v>41</v>
      </c>
      <c r="U4" s="251" t="s">
        <v>42</v>
      </c>
      <c r="V4" s="251" t="s">
        <v>43</v>
      </c>
      <c r="W4" s="251" t="s">
        <v>44</v>
      </c>
      <c r="X4" s="251" t="s">
        <v>45</v>
      </c>
      <c r="Y4" s="251" t="s">
        <v>46</v>
      </c>
      <c r="Z4" s="251" t="s">
        <v>47</v>
      </c>
      <c r="AA4" s="1209" t="s">
        <v>255</v>
      </c>
      <c r="AB4" s="1210"/>
    </row>
    <row r="5" spans="1:28" ht="13.35" customHeight="1">
      <c r="A5" s="50" t="s">
        <v>5</v>
      </c>
      <c r="B5" s="141"/>
      <c r="C5" s="80"/>
      <c r="D5" s="93"/>
      <c r="E5" s="226"/>
      <c r="F5" s="89"/>
      <c r="G5" s="81"/>
      <c r="H5" s="82"/>
      <c r="I5" s="83" t="str">
        <f t="shared" si="2"/>
        <v/>
      </c>
      <c r="J5" s="361" t="str">
        <f t="shared" si="3"/>
        <v/>
      </c>
      <c r="K5" s="200">
        <v>2</v>
      </c>
      <c r="L5" s="133">
        <f t="shared" ref="L5:L44" si="4">IF(B5&lt;$O$2,0,IF(B5&lt;$P$2,1,IF(B5&lt;$Q$2,2,IF(B5&lt;$R$2,3,IF(B5&lt;$S$2,4,IF(B5&lt;$T$2,5,IF(B5&lt;$U$2,6,IF(B5&lt;$V$2,7,IF(B5&lt;$W$2,8,IF(B5&lt;$X$2,9,IF(B5&lt;$Y$2,10,IF(B5&lt;$Z$2,11,IF(B5&lt;=$Z$3,12,0)))))))))))))</f>
        <v>0</v>
      </c>
      <c r="M5" s="135" t="s">
        <v>5</v>
      </c>
      <c r="O5" s="252">
        <f>SUMIFS($G$3:$G$47,$L$3:$L$47,1,$F$3:$F$47,"Konto")</f>
        <v>0</v>
      </c>
      <c r="P5" s="252">
        <f>SUMIFS($G$3:$G$47,$L$3:$L$47,2,$F$3:$F$47,"Konto")</f>
        <v>0</v>
      </c>
      <c r="Q5" s="252">
        <f>SUMIFS($G$3:$G$47,$L$3:$L$47,3,$F$3:$F$47,"Konto")</f>
        <v>0</v>
      </c>
      <c r="R5" s="252">
        <f>SUMIFS($G$3:$G$47,$L$3:$L$47,4,$F$3:$F$47,"Konto")</f>
        <v>0</v>
      </c>
      <c r="S5" s="252">
        <f>SUMIFS($G$3:$G$47,$L$3:$L$47,5,$F$3:$F$47,"Konto")</f>
        <v>0</v>
      </c>
      <c r="T5" s="252">
        <f>SUMIFS($G$3:$G$47,$L$3:$L$47,6,$F$3:$F$47,"Konto")</f>
        <v>0</v>
      </c>
      <c r="U5" s="252">
        <f>SUMIFS($G$3:$G$47,$L$3:$L$47,7,$F$3:$F$47,"Konto")</f>
        <v>0</v>
      </c>
      <c r="V5" s="252">
        <f>SUMIFS($G$3:$G$47,$L$3:$L$47,8,$F$3:$F$47,"Konto")</f>
        <v>0</v>
      </c>
      <c r="W5" s="252">
        <f>SUMIFS($G$3:$G$47,$L$3:$L$47,9,$F$3:$F$47,"Konto")</f>
        <v>0</v>
      </c>
      <c r="X5" s="252">
        <f>SUMIFS($G$3:$G$47,$L$3:$L$47,10,$F$3:$F$47,"Konto")</f>
        <v>0</v>
      </c>
      <c r="Y5" s="252">
        <f>SUMIFS($G$3:$G$47,$L$3:$L$47,11,$F$3:$F$47,"Konto")</f>
        <v>0</v>
      </c>
      <c r="Z5" s="252">
        <f>SUMIFS($G$3:$G$47,$L$3:$L$47,12,$F$3:$F$47,"Konto")</f>
        <v>0</v>
      </c>
      <c r="AA5" s="253">
        <f>SUM(O5:Z5)</f>
        <v>0</v>
      </c>
      <c r="AB5" s="254" t="s">
        <v>140</v>
      </c>
    </row>
    <row r="6" spans="1:28" ht="13.35" customHeight="1">
      <c r="A6" s="50" t="s">
        <v>5</v>
      </c>
      <c r="B6" s="141"/>
      <c r="C6" s="80"/>
      <c r="D6" s="93"/>
      <c r="E6" s="226"/>
      <c r="F6" s="89"/>
      <c r="G6" s="81"/>
      <c r="H6" s="82"/>
      <c r="I6" s="83" t="str">
        <f t="shared" si="2"/>
        <v/>
      </c>
      <c r="J6" s="361" t="str">
        <f t="shared" si="3"/>
        <v/>
      </c>
      <c r="K6" s="200">
        <v>3</v>
      </c>
      <c r="L6" s="133">
        <f t="shared" si="4"/>
        <v>0</v>
      </c>
      <c r="M6" s="135" t="s">
        <v>5</v>
      </c>
      <c r="N6" s="190"/>
      <c r="O6" s="252">
        <f>SUMIFS($G$3:$G$47,$L$3:$L$47,1,$F$3:$F$47,"Kreditkarte")</f>
        <v>0</v>
      </c>
      <c r="P6" s="252">
        <f>SUMIFS($G$3:$G$47,$L$3:$L$47,2,$F$3:$F$47,"Kreditkarte")</f>
        <v>0</v>
      </c>
      <c r="Q6" s="252">
        <f>SUMIFS($G$3:$G$47,$L$3:$L$47,3,$F$3:$F$47,"Kreditkarte")</f>
        <v>0</v>
      </c>
      <c r="R6" s="252">
        <f>SUMIFS($G$3:$G$47,$L$3:$L$47,4,$F$3:$F$47,"Kreditkarte")</f>
        <v>0</v>
      </c>
      <c r="S6" s="252">
        <f>SUMIFS($G$3:$G$47,$L$3:$L$47,5,$F$3:$F$47,"Kreditkarte")</f>
        <v>0</v>
      </c>
      <c r="T6" s="252">
        <f>SUMIFS($G$3:$G$47,$L$3:$L$47,6,$F$3:$F$47,"Kreditkarte")</f>
        <v>0</v>
      </c>
      <c r="U6" s="252">
        <f>SUMIFS($G$3:$G$47,$L$3:$L$47,7,$F$3:$F$47,"Kreditkarte")</f>
        <v>0</v>
      </c>
      <c r="V6" s="252">
        <f>SUMIFS($G$3:$G$47,$L$3:$L$47,8,$F$3:$F$47,"Kreditkarte")</f>
        <v>0</v>
      </c>
      <c r="W6" s="252">
        <f>SUMIFS($G$3:$G$47,$L$3:$L$47,9,$F$3:$F$47,"Kreditkarte")</f>
        <v>0</v>
      </c>
      <c r="X6" s="252">
        <f>SUMIFS($G$3:$G$47,$L$3:$L$47,10,$F$3:$F$47,"Kreditkarte")</f>
        <v>0</v>
      </c>
      <c r="Y6" s="252">
        <f>SUMIFS($G$3:$G$47,$L$3:$L$47,11,$F$3:$F$47,"Kreditkarte")</f>
        <v>0</v>
      </c>
      <c r="Z6" s="252">
        <f>SUMIFS($G$3:$G$47,$L$3:$L$47,12,$F$3:$F$47,"Kreditkarte")</f>
        <v>0</v>
      </c>
      <c r="AA6" s="255">
        <f t="shared" ref="AA6:AA8" si="5">SUM(O6:Z6)</f>
        <v>0</v>
      </c>
      <c r="AB6" s="256" t="s">
        <v>142</v>
      </c>
    </row>
    <row r="7" spans="1:28" ht="13.35" customHeight="1">
      <c r="A7" s="50" t="s">
        <v>5</v>
      </c>
      <c r="B7" s="141"/>
      <c r="C7" s="80"/>
      <c r="D7" s="93"/>
      <c r="E7" s="226"/>
      <c r="F7" s="89"/>
      <c r="G7" s="81"/>
      <c r="H7" s="82"/>
      <c r="I7" s="83" t="str">
        <f t="shared" si="2"/>
        <v/>
      </c>
      <c r="J7" s="361" t="str">
        <f t="shared" si="3"/>
        <v/>
      </c>
      <c r="K7" s="200">
        <v>4</v>
      </c>
      <c r="L7" s="133">
        <f t="shared" si="4"/>
        <v>0</v>
      </c>
      <c r="M7" s="135" t="s">
        <v>5</v>
      </c>
      <c r="O7" s="252">
        <f>SUMIFS($G$3:$G$47,$L$3:$L$47,1,$F$3:$F$47,"Geldbeutel")</f>
        <v>0</v>
      </c>
      <c r="P7" s="252">
        <f>SUMIFS($G$3:$G$47,$L$3:$L$47,2,$F$3:$F$47,"Geldbeutel")</f>
        <v>0</v>
      </c>
      <c r="Q7" s="252">
        <f>SUMIFS($G$3:$G$47,$L$3:$L$47,3,$F$3:$F$47,"Geldbeutel")</f>
        <v>0</v>
      </c>
      <c r="R7" s="252">
        <f>SUMIFS($G$3:$G$47,$L$3:$L$47,4,$F$3:$F$47,"Geldbeutel")</f>
        <v>0</v>
      </c>
      <c r="S7" s="252">
        <f>SUMIFS($G$3:$G$47,$L$3:$L$47,5,$F$3:$F$47,"Geldbeutel")</f>
        <v>0</v>
      </c>
      <c r="T7" s="252">
        <f>SUMIFS($G$3:$G$47,$L$3:$L$47,6,$F$3:$F$47,"Geldbeutel")</f>
        <v>0</v>
      </c>
      <c r="U7" s="252">
        <f>SUMIFS($G$3:$G$47,$L$3:$L$47,7,$F$3:$F$47,"Geldbeutel")</f>
        <v>0</v>
      </c>
      <c r="V7" s="252">
        <f>SUMIFS($G$3:$G$47,$L$3:$L$47,8,$F$3:$F$47,"Geldbeutel")</f>
        <v>0</v>
      </c>
      <c r="W7" s="252">
        <f>SUMIFS($G$3:$G$47,$L$3:$L$47,9,$F$3:$F$47,"Geldbeutel")</f>
        <v>0</v>
      </c>
      <c r="X7" s="252">
        <f>SUMIFS($G$3:$G$47,$L$3:$L$47,10,$F$3:$F$47,"Geldbeutel")</f>
        <v>0</v>
      </c>
      <c r="Y7" s="252">
        <f>SUMIFS($G$3:$G$47,$L$3:$L$47,11,$F$3:$F$47,"Geldbeutel")</f>
        <v>0</v>
      </c>
      <c r="Z7" s="252">
        <f>SUMIFS($G$3:$G$47,$L$3:$L$47,12,$F$3:$F$47,"Geldbeutel")</f>
        <v>0</v>
      </c>
      <c r="AA7" s="253">
        <f t="shared" si="5"/>
        <v>0</v>
      </c>
      <c r="AB7" s="254" t="s">
        <v>139</v>
      </c>
    </row>
    <row r="8" spans="1:28" ht="13.35" customHeight="1">
      <c r="A8" s="50" t="s">
        <v>5</v>
      </c>
      <c r="B8" s="141"/>
      <c r="C8" s="80"/>
      <c r="D8" s="93"/>
      <c r="E8" s="226"/>
      <c r="F8" s="89"/>
      <c r="G8" s="81"/>
      <c r="H8" s="82"/>
      <c r="I8" s="83" t="str">
        <f t="shared" si="2"/>
        <v/>
      </c>
      <c r="J8" s="361" t="str">
        <f t="shared" si="3"/>
        <v/>
      </c>
      <c r="K8" s="200">
        <v>5</v>
      </c>
      <c r="L8" s="133">
        <f t="shared" si="4"/>
        <v>0</v>
      </c>
      <c r="M8" s="135" t="s">
        <v>5</v>
      </c>
      <c r="O8" s="252">
        <f>SUMIFS($G$3:$G$47,$L$3:$L$47,1,$F$3:$F$47,"X")</f>
        <v>0</v>
      </c>
      <c r="P8" s="252">
        <f>SUMIFS($G$3:$G$47,$L$3:$L$47,2,$F$3:$F$47,"X")</f>
        <v>0</v>
      </c>
      <c r="Q8" s="252">
        <f>SUMIFS($G$3:$G$47,$L$3:$L$47,3,$F$3:$F$47,"X")</f>
        <v>0</v>
      </c>
      <c r="R8" s="252">
        <f>SUMIFS($G$3:$G$47,$L$3:$L$47,4,$F$3:$F$47,"X")</f>
        <v>0</v>
      </c>
      <c r="S8" s="252">
        <f>SUMIFS($G$3:$G$47,$L$3:$L$47,5,$F$3:$F$47,"X")</f>
        <v>0</v>
      </c>
      <c r="T8" s="252">
        <f>SUMIFS($G$3:$G$47,$L$3:$L$47,6,$F$3:$F$47,"X")</f>
        <v>0</v>
      </c>
      <c r="U8" s="252">
        <f>SUMIFS($G$3:$G$47,$L$3:$L$47,7,$F$3:$F$47,"X")</f>
        <v>0</v>
      </c>
      <c r="V8" s="252">
        <f>SUMIFS($G$3:$G$47,$L$3:$L$47,8,$F$3:$F$47,"X")</f>
        <v>0</v>
      </c>
      <c r="W8" s="252">
        <f>SUMIFS($G$3:$G$47,$L$3:$L$47,9,$F$3:$F$47,"X")</f>
        <v>0</v>
      </c>
      <c r="X8" s="252">
        <f>SUMIFS($G$3:$G$47,$L$3:$L$47,10,$F$3:$F$47,"X")</f>
        <v>0</v>
      </c>
      <c r="Y8" s="252">
        <f>SUMIFS($G$3:$G$47,$L$3:$L$47,11,$F$3:$F$47,"X")</f>
        <v>0</v>
      </c>
      <c r="Z8" s="252">
        <f>SUMIFS($G$3:$G$47,$L$3:$L$47,12,$F$3:$F$47,"X")</f>
        <v>0</v>
      </c>
      <c r="AA8" s="255">
        <f t="shared" si="5"/>
        <v>0</v>
      </c>
      <c r="AB8" s="256" t="s">
        <v>192</v>
      </c>
    </row>
    <row r="9" spans="1:28" ht="13.35" customHeight="1">
      <c r="A9" s="50" t="s">
        <v>5</v>
      </c>
      <c r="B9" s="141"/>
      <c r="C9" s="80"/>
      <c r="D9" s="93"/>
      <c r="E9" s="226"/>
      <c r="F9" s="89"/>
      <c r="G9" s="81"/>
      <c r="H9" s="82"/>
      <c r="I9" s="83" t="str">
        <f t="shared" si="2"/>
        <v/>
      </c>
      <c r="J9" s="361" t="str">
        <f t="shared" si="3"/>
        <v/>
      </c>
      <c r="K9" s="200">
        <v>6</v>
      </c>
      <c r="L9" s="133">
        <f t="shared" si="4"/>
        <v>0</v>
      </c>
      <c r="M9" s="135" t="s">
        <v>5</v>
      </c>
      <c r="N9" s="191">
        <f>IF(OR(AND(AA14&lt;&gt;0,B48="x"),(O14+AA13)&lt;&gt;H48),1,0)</f>
        <v>0</v>
      </c>
      <c r="O9" s="257">
        <f>SUM(O5:O8)</f>
        <v>0</v>
      </c>
      <c r="P9" s="257">
        <f t="shared" ref="P9:Z9" si="6">SUM(P5:P8)</f>
        <v>0</v>
      </c>
      <c r="Q9" s="257">
        <f t="shared" si="6"/>
        <v>0</v>
      </c>
      <c r="R9" s="257">
        <f t="shared" si="6"/>
        <v>0</v>
      </c>
      <c r="S9" s="257">
        <f t="shared" si="6"/>
        <v>0</v>
      </c>
      <c r="T9" s="257">
        <f t="shared" si="6"/>
        <v>0</v>
      </c>
      <c r="U9" s="257">
        <f t="shared" si="6"/>
        <v>0</v>
      </c>
      <c r="V9" s="257">
        <f t="shared" si="6"/>
        <v>0</v>
      </c>
      <c r="W9" s="257">
        <f t="shared" si="6"/>
        <v>0</v>
      </c>
      <c r="X9" s="257">
        <f t="shared" si="6"/>
        <v>0</v>
      </c>
      <c r="Y9" s="257">
        <f t="shared" si="6"/>
        <v>0</v>
      </c>
      <c r="Z9" s="257">
        <f t="shared" si="6"/>
        <v>0</v>
      </c>
      <c r="AA9" s="1211" t="s">
        <v>197</v>
      </c>
      <c r="AB9" s="1212"/>
    </row>
    <row r="10" spans="1:28" ht="13.35" customHeight="1">
      <c r="A10" s="50" t="s">
        <v>5</v>
      </c>
      <c r="B10" s="141"/>
      <c r="C10" s="80"/>
      <c r="D10" s="93"/>
      <c r="E10" s="226"/>
      <c r="F10" s="89"/>
      <c r="G10" s="81"/>
      <c r="H10" s="82"/>
      <c r="I10" s="83" t="str">
        <f t="shared" si="2"/>
        <v/>
      </c>
      <c r="J10" s="361" t="str">
        <f t="shared" si="3"/>
        <v/>
      </c>
      <c r="K10" s="200">
        <v>7</v>
      </c>
      <c r="L10" s="133">
        <f t="shared" si="4"/>
        <v>0</v>
      </c>
      <c r="M10" s="135" t="s">
        <v>5</v>
      </c>
      <c r="N10" s="259">
        <f>IF(O10+AA10&lt;&gt;G48,1,0)</f>
        <v>0</v>
      </c>
      <c r="O10" s="1230">
        <f>SUM(O5:Z8)</f>
        <v>0</v>
      </c>
      <c r="P10" s="1231"/>
      <c r="Q10" s="1231"/>
      <c r="R10" s="1231"/>
      <c r="S10" s="1231"/>
      <c r="T10" s="1231"/>
      <c r="U10" s="1231"/>
      <c r="V10" s="1231"/>
      <c r="W10" s="1231"/>
      <c r="X10" s="1231"/>
      <c r="Y10" s="1231"/>
      <c r="Z10" s="1232"/>
      <c r="AA10" s="292">
        <f>+G48-AA7-AA6-AA5-AA8</f>
        <v>0</v>
      </c>
      <c r="AB10" s="293" t="s">
        <v>205</v>
      </c>
    </row>
    <row r="11" spans="1:28" ht="13.35" customHeight="1">
      <c r="A11" s="50" t="s">
        <v>5</v>
      </c>
      <c r="B11" s="141"/>
      <c r="C11" s="80"/>
      <c r="D11" s="93"/>
      <c r="E11" s="226"/>
      <c r="F11" s="89"/>
      <c r="G11" s="81"/>
      <c r="H11" s="82"/>
      <c r="I11" s="83" t="str">
        <f t="shared" si="2"/>
        <v/>
      </c>
      <c r="J11" s="361" t="str">
        <f t="shared" si="3"/>
        <v/>
      </c>
      <c r="K11" s="200">
        <v>8</v>
      </c>
      <c r="L11" s="133">
        <f t="shared" si="4"/>
        <v>0</v>
      </c>
      <c r="M11" s="135" t="s">
        <v>5</v>
      </c>
      <c r="O11" s="1219" t="str">
        <f>IF(N4&gt;0,"Fehler!","")</f>
        <v/>
      </c>
      <c r="P11" s="1219"/>
      <c r="Q11" s="1219"/>
      <c r="R11" s="1219"/>
      <c r="S11" s="1219"/>
      <c r="T11" s="1219"/>
      <c r="U11" s="1219"/>
      <c r="V11" s="1219"/>
      <c r="W11" s="1219"/>
      <c r="X11" s="1219"/>
      <c r="Y11" s="1219"/>
      <c r="Z11" s="1219"/>
    </row>
    <row r="12" spans="1:28" ht="13.35" customHeight="1">
      <c r="A12" s="50" t="s">
        <v>5</v>
      </c>
      <c r="B12" s="141"/>
      <c r="C12" s="80"/>
      <c r="D12" s="93"/>
      <c r="E12" s="226"/>
      <c r="F12" s="89"/>
      <c r="G12" s="81"/>
      <c r="H12" s="82"/>
      <c r="I12" s="83" t="str">
        <f t="shared" si="2"/>
        <v/>
      </c>
      <c r="J12" s="361" t="str">
        <f t="shared" si="3"/>
        <v/>
      </c>
      <c r="K12" s="200">
        <v>9</v>
      </c>
      <c r="L12" s="133">
        <f t="shared" si="4"/>
        <v>0</v>
      </c>
      <c r="M12" s="135" t="s">
        <v>5</v>
      </c>
      <c r="O12" s="203" t="s">
        <v>36</v>
      </c>
      <c r="P12" s="203" t="s">
        <v>37</v>
      </c>
      <c r="Q12" s="203" t="s">
        <v>38</v>
      </c>
      <c r="R12" s="203" t="s">
        <v>39</v>
      </c>
      <c r="S12" s="203" t="s">
        <v>40</v>
      </c>
      <c r="T12" s="203" t="s">
        <v>41</v>
      </c>
      <c r="U12" s="203" t="s">
        <v>42</v>
      </c>
      <c r="V12" s="203" t="s">
        <v>43</v>
      </c>
      <c r="W12" s="203" t="s">
        <v>44</v>
      </c>
      <c r="X12" s="203" t="s">
        <v>45</v>
      </c>
      <c r="Y12" s="203" t="s">
        <v>46</v>
      </c>
      <c r="Z12" s="203" t="s">
        <v>47</v>
      </c>
      <c r="AA12" s="221">
        <f>IF(O14+AA13&lt;&gt;H48,1,0)</f>
        <v>0</v>
      </c>
    </row>
    <row r="13" spans="1:28" ht="13.35" customHeight="1">
      <c r="A13" s="50" t="s">
        <v>5</v>
      </c>
      <c r="B13" s="141"/>
      <c r="C13" s="80"/>
      <c r="D13" s="93"/>
      <c r="E13" s="226"/>
      <c r="F13" s="89"/>
      <c r="G13" s="81"/>
      <c r="H13" s="82"/>
      <c r="I13" s="83" t="str">
        <f t="shared" si="2"/>
        <v/>
      </c>
      <c r="J13" s="361" t="str">
        <f t="shared" si="3"/>
        <v/>
      </c>
      <c r="K13" s="200">
        <v>10</v>
      </c>
      <c r="L13" s="133">
        <f t="shared" si="4"/>
        <v>0</v>
      </c>
      <c r="M13" s="135" t="s">
        <v>5</v>
      </c>
      <c r="O13" s="187">
        <f>SUMIF($L$3:$L$47,1,$I$3:$I$47)</f>
        <v>0</v>
      </c>
      <c r="P13" s="187">
        <f>SUMIF($L$3:$L$47,2,$I$3:$I$47)</f>
        <v>0</v>
      </c>
      <c r="Q13" s="187">
        <f>SUMIF($L$3:$L$47,3,$I$3:$I$47)</f>
        <v>0</v>
      </c>
      <c r="R13" s="187">
        <f>SUMIF($L$3:$L$47,4,$I$3:$I$47)</f>
        <v>0</v>
      </c>
      <c r="S13" s="187">
        <f>SUMIF($L$3:$L$47,5,$I$3:$I$47)</f>
        <v>0</v>
      </c>
      <c r="T13" s="187">
        <f>SUMIF($L$3:$L$47,6,$I$3:$I$47)</f>
        <v>0</v>
      </c>
      <c r="U13" s="187">
        <f>SUMIF($L$3:$L$47,7,$I$3:$I$47)</f>
        <v>0</v>
      </c>
      <c r="V13" s="187">
        <f>SUMIF($L$3:$L$47,8,$I$3:$I$47)</f>
        <v>0</v>
      </c>
      <c r="W13" s="187">
        <f>SUMIF($L$3:$L$47,9,$I$3:$I$47)</f>
        <v>0</v>
      </c>
      <c r="X13" s="187">
        <f>SUMIF($L$3:$L$47,10,$I$3:$I$47)</f>
        <v>0</v>
      </c>
      <c r="Y13" s="187">
        <f>SUMIF($L$3:$L$47,11,$I$3:$I$47)</f>
        <v>0</v>
      </c>
      <c r="Z13" s="187">
        <f>SUMIF($L$3:$L$47,12,$I$3:$I$47)</f>
        <v>0</v>
      </c>
      <c r="AA13" s="1220">
        <f>SUMIF($L$3:$L$47,0,$I$3:$I$47)</f>
        <v>0</v>
      </c>
      <c r="AB13" s="1221"/>
    </row>
    <row r="14" spans="1:28" ht="13.35" customHeight="1">
      <c r="A14" s="50" t="s">
        <v>5</v>
      </c>
      <c r="B14" s="141"/>
      <c r="C14" s="80"/>
      <c r="D14" s="93"/>
      <c r="E14" s="226"/>
      <c r="F14" s="89"/>
      <c r="G14" s="81"/>
      <c r="H14" s="82"/>
      <c r="I14" s="83" t="str">
        <f t="shared" si="2"/>
        <v/>
      </c>
      <c r="J14" s="361" t="str">
        <f t="shared" si="3"/>
        <v/>
      </c>
      <c r="K14" s="200">
        <v>11</v>
      </c>
      <c r="L14" s="133">
        <f t="shared" si="4"/>
        <v>0</v>
      </c>
      <c r="M14" s="135" t="s">
        <v>5</v>
      </c>
      <c r="O14" s="1299">
        <f>SUM(O13:Z13)</f>
        <v>0</v>
      </c>
      <c r="P14" s="1300"/>
      <c r="Q14" s="1300"/>
      <c r="R14" s="1300"/>
      <c r="S14" s="1300"/>
      <c r="T14" s="1300"/>
      <c r="U14" s="1300"/>
      <c r="V14" s="1300"/>
      <c r="W14" s="1300"/>
      <c r="X14" s="1300"/>
      <c r="Y14" s="1300"/>
      <c r="Z14" s="1301"/>
      <c r="AA14" s="1222">
        <f>SUM(O13:Z13)+AA13</f>
        <v>0</v>
      </c>
      <c r="AB14" s="1223"/>
    </row>
    <row r="15" spans="1:28" ht="13.35" customHeight="1">
      <c r="A15" s="50" t="s">
        <v>5</v>
      </c>
      <c r="B15" s="141"/>
      <c r="C15" s="260"/>
      <c r="D15" s="93"/>
      <c r="E15" s="226"/>
      <c r="F15" s="89"/>
      <c r="G15" s="81"/>
      <c r="H15" s="82"/>
      <c r="I15" s="83" t="str">
        <f t="shared" si="2"/>
        <v/>
      </c>
      <c r="J15" s="361" t="str">
        <f t="shared" si="3"/>
        <v/>
      </c>
      <c r="K15" s="200">
        <v>12</v>
      </c>
      <c r="L15" s="133">
        <f t="shared" si="4"/>
        <v>0</v>
      </c>
      <c r="M15" s="135" t="s">
        <v>5</v>
      </c>
      <c r="O15" s="244"/>
      <c r="P15" s="244"/>
      <c r="Q15" s="244"/>
      <c r="R15" s="244"/>
      <c r="S15" s="244"/>
      <c r="T15" s="244"/>
      <c r="U15" s="244"/>
      <c r="V15" s="244"/>
      <c r="W15" s="244"/>
      <c r="X15" s="244"/>
      <c r="Y15" s="244"/>
      <c r="Z15" s="244"/>
      <c r="AA15" s="244"/>
      <c r="AB15" s="244"/>
    </row>
    <row r="16" spans="1:28" ht="13.35" customHeight="1">
      <c r="A16" s="50" t="s">
        <v>5</v>
      </c>
      <c r="B16" s="141"/>
      <c r="C16" s="80"/>
      <c r="D16" s="93"/>
      <c r="E16" s="226"/>
      <c r="F16" s="89"/>
      <c r="G16" s="81"/>
      <c r="H16" s="82"/>
      <c r="I16" s="83" t="str">
        <f t="shared" si="2"/>
        <v/>
      </c>
      <c r="J16" s="361" t="str">
        <f t="shared" si="3"/>
        <v/>
      </c>
      <c r="K16" s="200">
        <v>13</v>
      </c>
      <c r="L16" s="133">
        <f t="shared" si="4"/>
        <v>0</v>
      </c>
      <c r="M16" s="135" t="s">
        <v>5</v>
      </c>
      <c r="O16" s="244"/>
      <c r="P16" s="244"/>
      <c r="Q16" s="244"/>
      <c r="R16" s="244"/>
      <c r="S16" s="244"/>
      <c r="T16" s="244"/>
      <c r="U16" s="244"/>
      <c r="V16" s="244"/>
      <c r="W16" s="244"/>
      <c r="X16" s="244"/>
      <c r="Y16" s="244"/>
      <c r="Z16" s="244"/>
      <c r="AA16" s="244"/>
      <c r="AB16" s="244"/>
    </row>
    <row r="17" spans="1:28" ht="13.35" customHeight="1">
      <c r="A17" s="50" t="s">
        <v>5</v>
      </c>
      <c r="B17" s="141"/>
      <c r="C17" s="80"/>
      <c r="D17" s="93"/>
      <c r="E17" s="226"/>
      <c r="F17" s="89"/>
      <c r="G17" s="81"/>
      <c r="H17" s="82"/>
      <c r="I17" s="83" t="str">
        <f t="shared" si="2"/>
        <v/>
      </c>
      <c r="J17" s="361" t="str">
        <f t="shared" si="3"/>
        <v/>
      </c>
      <c r="K17" s="200">
        <v>14</v>
      </c>
      <c r="L17" s="133">
        <f t="shared" si="4"/>
        <v>0</v>
      </c>
      <c r="M17" s="135" t="s">
        <v>5</v>
      </c>
      <c r="O17" s="244"/>
      <c r="P17" s="244"/>
      <c r="Q17" s="244"/>
      <c r="R17" s="244"/>
      <c r="S17" s="244"/>
      <c r="T17" s="244"/>
      <c r="U17" s="244"/>
      <c r="V17" s="244"/>
      <c r="W17" s="244"/>
      <c r="X17" s="244"/>
      <c r="Y17" s="244"/>
      <c r="Z17" s="244"/>
      <c r="AA17" s="244"/>
      <c r="AB17" s="244"/>
    </row>
    <row r="18" spans="1:28" ht="13.35" customHeight="1">
      <c r="A18" s="50" t="s">
        <v>5</v>
      </c>
      <c r="B18" s="141"/>
      <c r="C18" s="80"/>
      <c r="D18" s="93"/>
      <c r="E18" s="226"/>
      <c r="F18" s="89"/>
      <c r="G18" s="81"/>
      <c r="H18" s="82"/>
      <c r="I18" s="83" t="str">
        <f t="shared" si="2"/>
        <v/>
      </c>
      <c r="J18" s="361" t="str">
        <f t="shared" si="3"/>
        <v/>
      </c>
      <c r="K18" s="200">
        <v>15</v>
      </c>
      <c r="L18" s="133">
        <f t="shared" si="4"/>
        <v>0</v>
      </c>
      <c r="M18" s="135" t="s">
        <v>5</v>
      </c>
      <c r="O18" s="244"/>
      <c r="P18" s="244"/>
      <c r="Q18" s="244"/>
      <c r="R18" s="244"/>
      <c r="S18" s="244"/>
      <c r="T18" s="244"/>
      <c r="U18" s="244"/>
      <c r="V18" s="244"/>
      <c r="W18" s="244"/>
      <c r="X18" s="244"/>
      <c r="Y18" s="244"/>
      <c r="Z18" s="244"/>
      <c r="AA18" s="244"/>
      <c r="AB18" s="244"/>
    </row>
    <row r="19" spans="1:28" ht="13.35" customHeight="1">
      <c r="A19" s="50" t="s">
        <v>5</v>
      </c>
      <c r="B19" s="141"/>
      <c r="C19" s="80"/>
      <c r="D19" s="93"/>
      <c r="E19" s="226"/>
      <c r="F19" s="89"/>
      <c r="G19" s="81"/>
      <c r="H19" s="82"/>
      <c r="I19" s="83" t="str">
        <f t="shared" si="2"/>
        <v/>
      </c>
      <c r="J19" s="361" t="str">
        <f t="shared" si="3"/>
        <v/>
      </c>
      <c r="K19" s="200">
        <v>16</v>
      </c>
      <c r="L19" s="133">
        <f t="shared" si="4"/>
        <v>0</v>
      </c>
      <c r="M19" s="135" t="s">
        <v>5</v>
      </c>
      <c r="O19" s="244"/>
      <c r="P19" s="244"/>
      <c r="Q19" s="244"/>
      <c r="R19" s="244"/>
      <c r="S19" s="244"/>
      <c r="T19" s="244"/>
      <c r="U19" s="244"/>
      <c r="V19" s="244"/>
      <c r="W19" s="244"/>
      <c r="X19" s="244"/>
      <c r="Y19" s="244"/>
      <c r="Z19" s="244"/>
      <c r="AA19" s="244"/>
      <c r="AB19" s="244"/>
    </row>
    <row r="20" spans="1:28" ht="13.35" customHeight="1">
      <c r="A20" s="50" t="s">
        <v>5</v>
      </c>
      <c r="B20" s="141"/>
      <c r="C20" s="80"/>
      <c r="D20" s="93"/>
      <c r="E20" s="226"/>
      <c r="F20" s="89"/>
      <c r="G20" s="81"/>
      <c r="H20" s="82"/>
      <c r="I20" s="83" t="str">
        <f t="shared" si="2"/>
        <v/>
      </c>
      <c r="J20" s="361" t="str">
        <f t="shared" si="3"/>
        <v/>
      </c>
      <c r="K20" s="200">
        <v>17</v>
      </c>
      <c r="L20" s="133">
        <f t="shared" si="4"/>
        <v>0</v>
      </c>
      <c r="M20" s="135" t="s">
        <v>5</v>
      </c>
      <c r="O20" s="244"/>
      <c r="P20" s="244"/>
      <c r="Q20" s="244"/>
      <c r="R20" s="244"/>
      <c r="S20" s="244"/>
      <c r="T20" s="244"/>
      <c r="U20" s="244"/>
      <c r="V20" s="244"/>
      <c r="W20" s="244"/>
      <c r="X20" s="244"/>
      <c r="Y20" s="244"/>
      <c r="Z20" s="244"/>
      <c r="AA20" s="244"/>
      <c r="AB20" s="244"/>
    </row>
    <row r="21" spans="1:28" ht="13.35" customHeight="1">
      <c r="A21" s="50" t="s">
        <v>5</v>
      </c>
      <c r="B21" s="141"/>
      <c r="C21" s="80"/>
      <c r="D21" s="93"/>
      <c r="E21" s="226"/>
      <c r="F21" s="89"/>
      <c r="G21" s="81"/>
      <c r="H21" s="82"/>
      <c r="I21" s="83" t="str">
        <f t="shared" si="2"/>
        <v/>
      </c>
      <c r="J21" s="361" t="str">
        <f t="shared" si="3"/>
        <v/>
      </c>
      <c r="K21" s="200">
        <v>18</v>
      </c>
      <c r="L21" s="133">
        <f t="shared" si="4"/>
        <v>0</v>
      </c>
      <c r="M21" s="135" t="s">
        <v>5</v>
      </c>
      <c r="O21" s="244"/>
      <c r="P21" s="244"/>
      <c r="Q21" s="244"/>
      <c r="R21" s="244"/>
      <c r="S21" s="244"/>
      <c r="T21" s="244"/>
      <c r="U21" s="244"/>
      <c r="V21" s="244"/>
      <c r="W21" s="244"/>
      <c r="X21" s="244"/>
      <c r="Y21" s="244"/>
      <c r="Z21" s="244"/>
      <c r="AA21" s="244"/>
      <c r="AB21" s="244"/>
    </row>
    <row r="22" spans="1:28" ht="13.35" customHeight="1">
      <c r="A22" s="50" t="s">
        <v>5</v>
      </c>
      <c r="B22" s="141"/>
      <c r="C22" s="80"/>
      <c r="D22" s="93"/>
      <c r="E22" s="226"/>
      <c r="F22" s="89"/>
      <c r="G22" s="81"/>
      <c r="H22" s="82"/>
      <c r="I22" s="83" t="str">
        <f t="shared" si="2"/>
        <v/>
      </c>
      <c r="J22" s="361" t="str">
        <f t="shared" si="3"/>
        <v/>
      </c>
      <c r="K22" s="200">
        <v>19</v>
      </c>
      <c r="L22" s="133">
        <f t="shared" si="4"/>
        <v>0</v>
      </c>
      <c r="M22" s="135" t="s">
        <v>5</v>
      </c>
      <c r="O22" s="244"/>
      <c r="P22" s="244"/>
      <c r="Q22" s="244"/>
      <c r="R22" s="244"/>
      <c r="S22" s="244"/>
      <c r="T22" s="244"/>
      <c r="U22" s="244"/>
      <c r="V22" s="244"/>
      <c r="W22" s="244"/>
      <c r="X22" s="244"/>
      <c r="Y22" s="244"/>
      <c r="Z22" s="244"/>
      <c r="AA22" s="244"/>
      <c r="AB22" s="244"/>
    </row>
    <row r="23" spans="1:28" ht="13.35" customHeight="1">
      <c r="A23" s="50" t="s">
        <v>5</v>
      </c>
      <c r="B23" s="141"/>
      <c r="C23" s="80"/>
      <c r="D23" s="94"/>
      <c r="E23" s="226"/>
      <c r="F23" s="89"/>
      <c r="G23" s="81"/>
      <c r="H23" s="82"/>
      <c r="I23" s="83" t="str">
        <f t="shared" si="2"/>
        <v/>
      </c>
      <c r="J23" s="361" t="str">
        <f t="shared" si="3"/>
        <v/>
      </c>
      <c r="K23" s="200">
        <v>20</v>
      </c>
      <c r="L23" s="133">
        <f t="shared" si="4"/>
        <v>0</v>
      </c>
      <c r="M23" s="135" t="s">
        <v>5</v>
      </c>
      <c r="O23" s="244"/>
      <c r="P23" s="244"/>
      <c r="Q23" s="244"/>
      <c r="R23" s="244"/>
      <c r="S23" s="244"/>
      <c r="T23" s="244"/>
      <c r="U23" s="244"/>
      <c r="V23" s="244"/>
      <c r="W23" s="244"/>
      <c r="X23" s="244"/>
      <c r="Y23" s="244"/>
      <c r="Z23" s="244"/>
      <c r="AA23" s="244"/>
      <c r="AB23" s="244"/>
    </row>
    <row r="24" spans="1:28" ht="13.35" customHeight="1">
      <c r="A24" s="50" t="s">
        <v>5</v>
      </c>
      <c r="B24" s="141"/>
      <c r="C24" s="80"/>
      <c r="D24" s="93"/>
      <c r="E24" s="226"/>
      <c r="F24" s="89"/>
      <c r="G24" s="81"/>
      <c r="H24" s="82"/>
      <c r="I24" s="83" t="str">
        <f t="shared" si="2"/>
        <v/>
      </c>
      <c r="J24" s="361" t="str">
        <f t="shared" si="3"/>
        <v/>
      </c>
      <c r="K24" s="200">
        <v>21</v>
      </c>
      <c r="L24" s="133">
        <f t="shared" si="4"/>
        <v>0</v>
      </c>
      <c r="M24" s="135" t="s">
        <v>5</v>
      </c>
      <c r="O24" s="244"/>
      <c r="P24" s="244"/>
      <c r="Q24" s="244"/>
      <c r="R24" s="244"/>
      <c r="S24" s="244"/>
      <c r="T24" s="244"/>
      <c r="U24" s="244"/>
      <c r="V24" s="244"/>
      <c r="W24" s="244"/>
      <c r="X24" s="244"/>
      <c r="Y24" s="244"/>
      <c r="Z24" s="244"/>
      <c r="AA24" s="244"/>
      <c r="AB24" s="244"/>
    </row>
    <row r="25" spans="1:28" ht="13.35" customHeight="1">
      <c r="A25" s="50" t="s">
        <v>5</v>
      </c>
      <c r="B25" s="141"/>
      <c r="C25" s="80"/>
      <c r="D25" s="93"/>
      <c r="E25" s="226"/>
      <c r="F25" s="89"/>
      <c r="G25" s="81"/>
      <c r="H25" s="82"/>
      <c r="I25" s="83" t="str">
        <f t="shared" si="2"/>
        <v/>
      </c>
      <c r="J25" s="361" t="str">
        <f t="shared" si="3"/>
        <v/>
      </c>
      <c r="K25" s="200">
        <v>22</v>
      </c>
      <c r="L25" s="133">
        <f t="shared" si="4"/>
        <v>0</v>
      </c>
      <c r="M25" s="135" t="s">
        <v>5</v>
      </c>
      <c r="O25" s="244"/>
      <c r="P25" s="244"/>
      <c r="Q25" s="244"/>
      <c r="R25" s="244"/>
      <c r="S25" s="244"/>
      <c r="T25" s="244"/>
      <c r="U25" s="244"/>
      <c r="V25" s="244"/>
      <c r="W25" s="244"/>
      <c r="X25" s="244"/>
      <c r="Y25" s="244"/>
      <c r="Z25" s="244"/>
      <c r="AA25" s="244"/>
      <c r="AB25" s="244"/>
    </row>
    <row r="26" spans="1:28" ht="13.35" customHeight="1">
      <c r="A26" s="50" t="s">
        <v>5</v>
      </c>
      <c r="B26" s="141"/>
      <c r="C26" s="80"/>
      <c r="D26" s="93"/>
      <c r="E26" s="226"/>
      <c r="F26" s="89"/>
      <c r="G26" s="81"/>
      <c r="H26" s="82"/>
      <c r="I26" s="83" t="str">
        <f t="shared" si="2"/>
        <v/>
      </c>
      <c r="J26" s="361" t="str">
        <f t="shared" si="3"/>
        <v/>
      </c>
      <c r="K26" s="200">
        <v>23</v>
      </c>
      <c r="L26" s="133">
        <f t="shared" si="4"/>
        <v>0</v>
      </c>
      <c r="M26" s="135" t="s">
        <v>5</v>
      </c>
      <c r="O26" s="244"/>
      <c r="P26" s="244"/>
      <c r="Q26" s="244"/>
      <c r="R26" s="244"/>
      <c r="S26" s="244"/>
      <c r="T26" s="244"/>
      <c r="U26" s="244"/>
      <c r="V26" s="244"/>
      <c r="W26" s="244"/>
      <c r="X26" s="244"/>
      <c r="Y26" s="244"/>
      <c r="Z26" s="244"/>
      <c r="AA26" s="244"/>
      <c r="AB26" s="244"/>
    </row>
    <row r="27" spans="1:28" ht="13.35" customHeight="1">
      <c r="A27" s="50" t="s">
        <v>5</v>
      </c>
      <c r="B27" s="141"/>
      <c r="C27" s="80"/>
      <c r="D27" s="93"/>
      <c r="E27" s="226"/>
      <c r="F27" s="89"/>
      <c r="G27" s="81"/>
      <c r="H27" s="82"/>
      <c r="I27" s="83" t="str">
        <f t="shared" si="2"/>
        <v/>
      </c>
      <c r="J27" s="361" t="str">
        <f t="shared" si="3"/>
        <v/>
      </c>
      <c r="K27" s="200">
        <v>24</v>
      </c>
      <c r="L27" s="133">
        <f t="shared" si="4"/>
        <v>0</v>
      </c>
      <c r="M27" s="135" t="s">
        <v>5</v>
      </c>
      <c r="O27" s="244"/>
      <c r="P27" s="244"/>
      <c r="Q27" s="244"/>
      <c r="R27" s="244"/>
      <c r="S27" s="244"/>
      <c r="T27" s="244"/>
      <c r="U27" s="244"/>
      <c r="V27" s="244"/>
      <c r="W27" s="244"/>
      <c r="X27" s="244"/>
      <c r="Y27" s="244"/>
      <c r="Z27" s="244"/>
      <c r="AA27" s="244"/>
      <c r="AB27" s="244"/>
    </row>
    <row r="28" spans="1:28" ht="13.35" customHeight="1">
      <c r="A28" s="50" t="s">
        <v>5</v>
      </c>
      <c r="B28" s="141"/>
      <c r="C28" s="80"/>
      <c r="D28" s="93"/>
      <c r="E28" s="226"/>
      <c r="F28" s="89"/>
      <c r="G28" s="81"/>
      <c r="H28" s="82"/>
      <c r="I28" s="83" t="str">
        <f t="shared" si="2"/>
        <v/>
      </c>
      <c r="J28" s="361" t="str">
        <f t="shared" si="3"/>
        <v/>
      </c>
      <c r="K28" s="200">
        <v>25</v>
      </c>
      <c r="L28" s="133">
        <f t="shared" si="4"/>
        <v>0</v>
      </c>
      <c r="M28" s="135" t="s">
        <v>5</v>
      </c>
      <c r="O28" s="244"/>
      <c r="P28" s="244"/>
      <c r="Q28" s="244"/>
      <c r="R28" s="244"/>
      <c r="S28" s="244"/>
      <c r="T28" s="244"/>
      <c r="U28" s="244"/>
      <c r="V28" s="244"/>
      <c r="W28" s="244"/>
      <c r="X28" s="244"/>
      <c r="Y28" s="244"/>
      <c r="Z28" s="244"/>
      <c r="AA28" s="244"/>
      <c r="AB28" s="244"/>
    </row>
    <row r="29" spans="1:28" ht="13.35" customHeight="1">
      <c r="A29" s="50" t="s">
        <v>5</v>
      </c>
      <c r="B29" s="141"/>
      <c r="C29" s="80"/>
      <c r="D29" s="93"/>
      <c r="E29" s="226"/>
      <c r="F29" s="89"/>
      <c r="G29" s="81"/>
      <c r="H29" s="82"/>
      <c r="I29" s="83" t="str">
        <f t="shared" si="2"/>
        <v/>
      </c>
      <c r="J29" s="361" t="str">
        <f t="shared" si="3"/>
        <v/>
      </c>
      <c r="K29" s="200">
        <v>26</v>
      </c>
      <c r="L29" s="133">
        <f t="shared" si="4"/>
        <v>0</v>
      </c>
      <c r="M29" s="135" t="s">
        <v>5</v>
      </c>
      <c r="O29" s="244"/>
      <c r="P29" s="244"/>
      <c r="Q29" s="244"/>
      <c r="R29" s="244"/>
      <c r="S29" s="244"/>
      <c r="T29" s="244"/>
      <c r="U29" s="244"/>
      <c r="V29" s="244"/>
      <c r="W29" s="244"/>
      <c r="X29" s="244"/>
      <c r="Y29" s="244"/>
      <c r="Z29" s="244"/>
      <c r="AA29" s="244"/>
      <c r="AB29" s="244"/>
    </row>
    <row r="30" spans="1:28" ht="13.35" customHeight="1">
      <c r="A30" s="50" t="s">
        <v>5</v>
      </c>
      <c r="B30" s="141"/>
      <c r="C30" s="80"/>
      <c r="D30" s="93"/>
      <c r="E30" s="226"/>
      <c r="F30" s="89"/>
      <c r="G30" s="81"/>
      <c r="H30" s="82"/>
      <c r="I30" s="83" t="str">
        <f t="shared" si="2"/>
        <v/>
      </c>
      <c r="J30" s="361" t="str">
        <f t="shared" si="3"/>
        <v/>
      </c>
      <c r="K30" s="200">
        <v>27</v>
      </c>
      <c r="L30" s="133">
        <f t="shared" si="4"/>
        <v>0</v>
      </c>
      <c r="M30" s="135" t="s">
        <v>5</v>
      </c>
      <c r="O30" s="244"/>
      <c r="P30" s="244"/>
      <c r="Q30" s="244"/>
      <c r="R30" s="244"/>
      <c r="S30" s="244"/>
      <c r="T30" s="244"/>
      <c r="U30" s="244"/>
      <c r="V30" s="244"/>
      <c r="W30" s="244"/>
      <c r="X30" s="244"/>
      <c r="Y30" s="244"/>
      <c r="Z30" s="244"/>
      <c r="AA30" s="244"/>
      <c r="AB30" s="244"/>
    </row>
    <row r="31" spans="1:28" ht="13.35" customHeight="1">
      <c r="A31" s="50" t="s">
        <v>5</v>
      </c>
      <c r="B31" s="141"/>
      <c r="C31" s="80"/>
      <c r="D31" s="93"/>
      <c r="E31" s="226"/>
      <c r="F31" s="89"/>
      <c r="G31" s="81"/>
      <c r="H31" s="82"/>
      <c r="I31" s="83" t="str">
        <f t="shared" si="2"/>
        <v/>
      </c>
      <c r="J31" s="361" t="str">
        <f t="shared" si="3"/>
        <v/>
      </c>
      <c r="K31" s="200">
        <v>28</v>
      </c>
      <c r="L31" s="133">
        <f t="shared" si="4"/>
        <v>0</v>
      </c>
      <c r="M31" s="135" t="s">
        <v>5</v>
      </c>
      <c r="O31" s="244"/>
      <c r="P31" s="244"/>
      <c r="Q31" s="244"/>
      <c r="R31" s="244"/>
      <c r="S31" s="244"/>
      <c r="T31" s="244"/>
      <c r="U31" s="244"/>
      <c r="V31" s="244"/>
      <c r="W31" s="244"/>
      <c r="X31" s="244"/>
      <c r="Y31" s="244"/>
      <c r="Z31" s="244"/>
      <c r="AA31" s="244"/>
      <c r="AB31" s="244"/>
    </row>
    <row r="32" spans="1:28" ht="13.35" customHeight="1">
      <c r="A32" s="50" t="s">
        <v>5</v>
      </c>
      <c r="B32" s="141"/>
      <c r="C32" s="80"/>
      <c r="D32" s="93"/>
      <c r="E32" s="226"/>
      <c r="F32" s="89"/>
      <c r="G32" s="81"/>
      <c r="H32" s="82"/>
      <c r="I32" s="83" t="str">
        <f t="shared" si="2"/>
        <v/>
      </c>
      <c r="J32" s="361" t="str">
        <f t="shared" si="3"/>
        <v/>
      </c>
      <c r="K32" s="200">
        <v>29</v>
      </c>
      <c r="L32" s="133">
        <f t="shared" si="4"/>
        <v>0</v>
      </c>
      <c r="M32" s="135" t="s">
        <v>5</v>
      </c>
      <c r="O32" s="244"/>
      <c r="P32" s="244"/>
      <c r="Q32" s="244"/>
      <c r="R32" s="244"/>
      <c r="S32" s="244"/>
      <c r="T32" s="244"/>
      <c r="U32" s="244"/>
      <c r="V32" s="244"/>
      <c r="W32" s="244"/>
      <c r="X32" s="244"/>
      <c r="Y32" s="244"/>
      <c r="Z32" s="244"/>
      <c r="AA32" s="244"/>
      <c r="AB32" s="244"/>
    </row>
    <row r="33" spans="1:28" ht="13.35" customHeight="1">
      <c r="A33" s="50" t="s">
        <v>5</v>
      </c>
      <c r="B33" s="141"/>
      <c r="C33" s="80"/>
      <c r="D33" s="93"/>
      <c r="E33" s="226"/>
      <c r="F33" s="89"/>
      <c r="G33" s="81"/>
      <c r="H33" s="82"/>
      <c r="I33" s="83" t="str">
        <f t="shared" si="2"/>
        <v/>
      </c>
      <c r="J33" s="361" t="str">
        <f t="shared" si="3"/>
        <v/>
      </c>
      <c r="K33" s="200">
        <v>30</v>
      </c>
      <c r="L33" s="133">
        <f t="shared" si="4"/>
        <v>0</v>
      </c>
      <c r="M33" s="135" t="s">
        <v>5</v>
      </c>
      <c r="O33" s="244"/>
      <c r="P33" s="244"/>
      <c r="Q33" s="244"/>
      <c r="R33" s="244"/>
      <c r="S33" s="244"/>
      <c r="T33" s="244"/>
      <c r="U33" s="244"/>
      <c r="V33" s="244"/>
      <c r="W33" s="244"/>
      <c r="X33" s="244"/>
      <c r="Y33" s="244"/>
      <c r="Z33" s="244"/>
      <c r="AA33" s="244"/>
      <c r="AB33" s="244"/>
    </row>
    <row r="34" spans="1:28" ht="13.35" customHeight="1">
      <c r="A34" s="50" t="s">
        <v>5</v>
      </c>
      <c r="B34" s="141"/>
      <c r="C34" s="80"/>
      <c r="D34" s="93"/>
      <c r="E34" s="226"/>
      <c r="F34" s="89"/>
      <c r="G34" s="81"/>
      <c r="H34" s="82"/>
      <c r="I34" s="83" t="str">
        <f t="shared" si="2"/>
        <v/>
      </c>
      <c r="J34" s="361" t="str">
        <f t="shared" si="3"/>
        <v/>
      </c>
      <c r="K34" s="200">
        <v>31</v>
      </c>
      <c r="L34" s="133">
        <f t="shared" si="4"/>
        <v>0</v>
      </c>
      <c r="M34" s="135" t="s">
        <v>5</v>
      </c>
      <c r="O34" s="244"/>
      <c r="P34" s="244"/>
      <c r="Q34" s="244"/>
      <c r="R34" s="244"/>
      <c r="S34" s="244"/>
      <c r="T34" s="244"/>
      <c r="U34" s="244"/>
      <c r="V34" s="244"/>
      <c r="W34" s="244"/>
      <c r="X34" s="244"/>
      <c r="Y34" s="244"/>
      <c r="Z34" s="244"/>
      <c r="AA34" s="244"/>
      <c r="AB34" s="244"/>
    </row>
    <row r="35" spans="1:28" ht="13.35" customHeight="1">
      <c r="A35" s="50" t="s">
        <v>5</v>
      </c>
      <c r="B35" s="141"/>
      <c r="C35" s="80"/>
      <c r="D35" s="93"/>
      <c r="E35" s="226"/>
      <c r="F35" s="89"/>
      <c r="G35" s="81"/>
      <c r="H35" s="82"/>
      <c r="I35" s="83" t="str">
        <f t="shared" si="2"/>
        <v/>
      </c>
      <c r="J35" s="361" t="str">
        <f t="shared" si="3"/>
        <v/>
      </c>
      <c r="K35" s="200">
        <v>32</v>
      </c>
      <c r="L35" s="133">
        <f t="shared" si="4"/>
        <v>0</v>
      </c>
      <c r="M35" s="135" t="s">
        <v>5</v>
      </c>
      <c r="O35" s="244"/>
      <c r="P35" s="244"/>
      <c r="Q35" s="244"/>
      <c r="R35" s="244"/>
      <c r="S35" s="244"/>
      <c r="T35" s="244"/>
      <c r="U35" s="244"/>
      <c r="V35" s="244"/>
      <c r="W35" s="244"/>
      <c r="X35" s="244"/>
      <c r="Y35" s="244"/>
      <c r="Z35" s="244"/>
      <c r="AA35" s="244"/>
      <c r="AB35" s="244"/>
    </row>
    <row r="36" spans="1:28" ht="13.35" customHeight="1">
      <c r="A36" s="50" t="s">
        <v>5</v>
      </c>
      <c r="B36" s="141"/>
      <c r="C36" s="80"/>
      <c r="D36" s="93"/>
      <c r="E36" s="226"/>
      <c r="F36" s="89"/>
      <c r="G36" s="81"/>
      <c r="H36" s="82"/>
      <c r="I36" s="83" t="str">
        <f t="shared" si="2"/>
        <v/>
      </c>
      <c r="J36" s="361" t="str">
        <f t="shared" si="3"/>
        <v/>
      </c>
      <c r="K36" s="200">
        <v>33</v>
      </c>
      <c r="L36" s="133">
        <f t="shared" si="4"/>
        <v>0</v>
      </c>
      <c r="M36" s="135" t="s">
        <v>5</v>
      </c>
      <c r="O36" s="244"/>
      <c r="P36" s="244"/>
      <c r="Q36" s="244"/>
      <c r="R36" s="244"/>
      <c r="S36" s="244"/>
      <c r="T36" s="244"/>
      <c r="U36" s="244"/>
      <c r="V36" s="244"/>
      <c r="W36" s="244"/>
      <c r="X36" s="244"/>
      <c r="Y36" s="244"/>
      <c r="Z36" s="244"/>
      <c r="AA36" s="244"/>
      <c r="AB36" s="244"/>
    </row>
    <row r="37" spans="1:28" ht="13.35" customHeight="1">
      <c r="A37" s="50" t="s">
        <v>5</v>
      </c>
      <c r="B37" s="141"/>
      <c r="C37" s="80"/>
      <c r="D37" s="93"/>
      <c r="E37" s="226"/>
      <c r="F37" s="89"/>
      <c r="G37" s="81"/>
      <c r="H37" s="82"/>
      <c r="I37" s="83" t="str">
        <f t="shared" si="2"/>
        <v/>
      </c>
      <c r="J37" s="361" t="str">
        <f t="shared" si="3"/>
        <v/>
      </c>
      <c r="K37" s="200">
        <v>34</v>
      </c>
      <c r="L37" s="133">
        <f t="shared" si="4"/>
        <v>0</v>
      </c>
      <c r="M37" s="135" t="s">
        <v>5</v>
      </c>
      <c r="O37" s="244"/>
      <c r="P37" s="244"/>
      <c r="Q37" s="244"/>
      <c r="R37" s="244"/>
      <c r="S37" s="244"/>
      <c r="T37" s="244"/>
      <c r="U37" s="244"/>
      <c r="V37" s="244"/>
      <c r="W37" s="244"/>
      <c r="X37" s="244"/>
      <c r="Y37" s="244"/>
      <c r="Z37" s="244"/>
      <c r="AA37" s="244"/>
      <c r="AB37" s="244"/>
    </row>
    <row r="38" spans="1:28" ht="13.35" customHeight="1">
      <c r="A38" s="50" t="s">
        <v>5</v>
      </c>
      <c r="B38" s="141"/>
      <c r="C38" s="80"/>
      <c r="D38" s="93"/>
      <c r="E38" s="226"/>
      <c r="F38" s="89"/>
      <c r="G38" s="81"/>
      <c r="H38" s="82"/>
      <c r="I38" s="83" t="str">
        <f t="shared" si="2"/>
        <v/>
      </c>
      <c r="J38" s="361" t="str">
        <f t="shared" si="3"/>
        <v/>
      </c>
      <c r="K38" s="200">
        <v>35</v>
      </c>
      <c r="L38" s="133">
        <f t="shared" si="4"/>
        <v>0</v>
      </c>
      <c r="M38" s="135" t="s">
        <v>5</v>
      </c>
      <c r="O38" s="244"/>
      <c r="P38" s="244"/>
      <c r="Q38" s="244"/>
      <c r="R38" s="244"/>
      <c r="S38" s="244"/>
      <c r="T38" s="244"/>
      <c r="U38" s="244"/>
      <c r="V38" s="244"/>
      <c r="W38" s="244"/>
      <c r="X38" s="244"/>
      <c r="Y38" s="244"/>
      <c r="Z38" s="244"/>
      <c r="AA38" s="244"/>
      <c r="AB38" s="244"/>
    </row>
    <row r="39" spans="1:28" ht="13.35" customHeight="1">
      <c r="A39" s="50" t="s">
        <v>5</v>
      </c>
      <c r="B39" s="141"/>
      <c r="C39" s="80"/>
      <c r="D39" s="93"/>
      <c r="E39" s="226"/>
      <c r="F39" s="89"/>
      <c r="G39" s="81"/>
      <c r="H39" s="82"/>
      <c r="I39" s="83" t="str">
        <f t="shared" si="2"/>
        <v/>
      </c>
      <c r="J39" s="361" t="str">
        <f t="shared" si="3"/>
        <v/>
      </c>
      <c r="K39" s="200">
        <v>36</v>
      </c>
      <c r="L39" s="133">
        <f t="shared" si="4"/>
        <v>0</v>
      </c>
      <c r="M39" s="135" t="s">
        <v>5</v>
      </c>
      <c r="O39" s="244"/>
      <c r="P39" s="244"/>
      <c r="Q39" s="244"/>
      <c r="R39" s="244"/>
      <c r="S39" s="244"/>
      <c r="T39" s="244"/>
      <c r="U39" s="244"/>
      <c r="V39" s="244"/>
      <c r="W39" s="244"/>
      <c r="X39" s="244"/>
      <c r="Y39" s="244"/>
      <c r="Z39" s="244"/>
      <c r="AA39" s="244"/>
      <c r="AB39" s="244"/>
    </row>
    <row r="40" spans="1:28" ht="13.35" customHeight="1">
      <c r="A40" s="50" t="s">
        <v>5</v>
      </c>
      <c r="B40" s="141"/>
      <c r="C40" s="80"/>
      <c r="D40" s="93"/>
      <c r="E40" s="226"/>
      <c r="F40" s="89"/>
      <c r="G40" s="81"/>
      <c r="H40" s="82"/>
      <c r="I40" s="83" t="str">
        <f t="shared" si="2"/>
        <v/>
      </c>
      <c r="J40" s="361" t="str">
        <f t="shared" si="3"/>
        <v/>
      </c>
      <c r="K40" s="200">
        <v>37</v>
      </c>
      <c r="L40" s="133">
        <f t="shared" si="4"/>
        <v>0</v>
      </c>
      <c r="M40" s="135" t="s">
        <v>5</v>
      </c>
      <c r="O40" s="244"/>
      <c r="P40" s="244"/>
      <c r="Q40" s="244"/>
      <c r="R40" s="244"/>
      <c r="S40" s="244"/>
      <c r="T40" s="244"/>
      <c r="U40" s="244"/>
      <c r="V40" s="244"/>
      <c r="W40" s="244"/>
      <c r="X40" s="244"/>
      <c r="Y40" s="244"/>
      <c r="Z40" s="244"/>
      <c r="AA40" s="244"/>
      <c r="AB40" s="244"/>
    </row>
    <row r="41" spans="1:28" ht="13.35" customHeight="1">
      <c r="A41" s="50" t="s">
        <v>5</v>
      </c>
      <c r="B41" s="141"/>
      <c r="C41" s="80"/>
      <c r="D41" s="93"/>
      <c r="E41" s="226"/>
      <c r="F41" s="89"/>
      <c r="G41" s="81"/>
      <c r="H41" s="82"/>
      <c r="I41" s="83" t="str">
        <f t="shared" si="2"/>
        <v/>
      </c>
      <c r="J41" s="361" t="str">
        <f t="shared" si="3"/>
        <v/>
      </c>
      <c r="K41" s="200">
        <v>38</v>
      </c>
      <c r="L41" s="133">
        <f t="shared" si="4"/>
        <v>0</v>
      </c>
      <c r="M41" s="135" t="s">
        <v>5</v>
      </c>
      <c r="O41" s="244"/>
      <c r="P41" s="244"/>
      <c r="Q41" s="244"/>
      <c r="R41" s="244"/>
      <c r="S41" s="244"/>
      <c r="T41" s="244"/>
      <c r="U41" s="244"/>
      <c r="V41" s="244"/>
      <c r="W41" s="244"/>
      <c r="X41" s="244"/>
      <c r="Y41" s="244"/>
      <c r="Z41" s="244"/>
      <c r="AA41" s="244"/>
      <c r="AB41" s="244"/>
    </row>
    <row r="42" spans="1:28" ht="13.35" customHeight="1">
      <c r="A42" s="50" t="s">
        <v>5</v>
      </c>
      <c r="B42" s="141"/>
      <c r="C42" s="80"/>
      <c r="D42" s="93"/>
      <c r="E42" s="226"/>
      <c r="F42" s="89"/>
      <c r="G42" s="81"/>
      <c r="H42" s="82"/>
      <c r="I42" s="83" t="str">
        <f t="shared" si="2"/>
        <v/>
      </c>
      <c r="J42" s="361" t="str">
        <f t="shared" si="3"/>
        <v/>
      </c>
      <c r="K42" s="200">
        <v>39</v>
      </c>
      <c r="L42" s="133">
        <f t="shared" si="4"/>
        <v>0</v>
      </c>
      <c r="M42" s="135" t="s">
        <v>5</v>
      </c>
      <c r="O42" s="244"/>
      <c r="P42" s="244"/>
      <c r="Q42" s="244"/>
      <c r="R42" s="244"/>
      <c r="S42" s="244"/>
      <c r="T42" s="244"/>
      <c r="U42" s="244"/>
      <c r="V42" s="244"/>
      <c r="W42" s="244"/>
      <c r="X42" s="244"/>
      <c r="Y42" s="244"/>
      <c r="Z42" s="244"/>
      <c r="AA42" s="244"/>
      <c r="AB42" s="244"/>
    </row>
    <row r="43" spans="1:28" ht="13.35" customHeight="1">
      <c r="A43" s="50" t="s">
        <v>5</v>
      </c>
      <c r="B43" s="141"/>
      <c r="C43" s="80"/>
      <c r="D43" s="93"/>
      <c r="E43" s="226"/>
      <c r="F43" s="89"/>
      <c r="G43" s="81"/>
      <c r="H43" s="82"/>
      <c r="I43" s="83" t="str">
        <f t="shared" si="2"/>
        <v/>
      </c>
      <c r="J43" s="361" t="str">
        <f t="shared" si="3"/>
        <v/>
      </c>
      <c r="K43" s="200">
        <v>40</v>
      </c>
      <c r="L43" s="133">
        <f t="shared" si="4"/>
        <v>0</v>
      </c>
      <c r="M43" s="135" t="s">
        <v>5</v>
      </c>
      <c r="O43" s="244"/>
      <c r="P43" s="244"/>
      <c r="Q43" s="244"/>
      <c r="R43" s="244"/>
      <c r="S43" s="244"/>
      <c r="T43" s="244"/>
      <c r="U43" s="244"/>
      <c r="V43" s="244"/>
      <c r="W43" s="244"/>
      <c r="X43" s="244"/>
      <c r="Y43" s="244"/>
      <c r="Z43" s="244"/>
      <c r="AA43" s="244"/>
      <c r="AB43" s="244"/>
    </row>
    <row r="44" spans="1:28" ht="13.35" customHeight="1">
      <c r="A44" s="50" t="s">
        <v>5</v>
      </c>
      <c r="B44" s="141"/>
      <c r="C44" s="80"/>
      <c r="D44" s="93"/>
      <c r="E44" s="226"/>
      <c r="F44" s="89"/>
      <c r="G44" s="81"/>
      <c r="H44" s="82"/>
      <c r="I44" s="83" t="str">
        <f t="shared" si="2"/>
        <v/>
      </c>
      <c r="J44" s="361" t="str">
        <f t="shared" si="3"/>
        <v/>
      </c>
      <c r="K44" s="200">
        <v>41</v>
      </c>
      <c r="L44" s="133">
        <f t="shared" si="4"/>
        <v>0</v>
      </c>
      <c r="M44" s="135" t="s">
        <v>5</v>
      </c>
      <c r="O44" s="244"/>
      <c r="P44" s="244"/>
      <c r="Q44" s="244"/>
      <c r="R44" s="244"/>
      <c r="S44" s="244"/>
      <c r="T44" s="244"/>
      <c r="U44" s="244"/>
      <c r="V44" s="244"/>
      <c r="W44" s="244"/>
      <c r="X44" s="244"/>
      <c r="Y44" s="244"/>
      <c r="Z44" s="244"/>
      <c r="AA44" s="244"/>
      <c r="AB44" s="244"/>
    </row>
    <row r="45" spans="1:28" ht="13.35" customHeight="1">
      <c r="A45" s="50" t="s">
        <v>5</v>
      </c>
      <c r="B45" s="141"/>
      <c r="C45" s="80"/>
      <c r="D45" s="93"/>
      <c r="E45" s="226"/>
      <c r="F45" s="89"/>
      <c r="G45" s="81"/>
      <c r="H45" s="82"/>
      <c r="I45" s="83" t="str">
        <f t="shared" ref="I45:I46" si="7">IF(G45&lt;&gt;"",+G45-G45/(1+H45/100),"")</f>
        <v/>
      </c>
      <c r="J45" s="361" t="str">
        <f t="shared" ref="J45:J46" si="8">IF(G45&lt;&gt;0,+G45-I45,"")</f>
        <v/>
      </c>
      <c r="K45" s="200">
        <v>44</v>
      </c>
      <c r="L45" s="133">
        <f t="shared" ref="L45:L46" si="9">IF(B45&lt;$O$2,0,IF(B45&lt;$P$2,1,IF(B45&lt;$Q$2,2,IF(B45&lt;$R$2,3,IF(B45&lt;$S$2,4,IF(B45&lt;$T$2,5,IF(B45&lt;$U$2,6,IF(B45&lt;$V$2,7,IF(B45&lt;$W$2,8,IF(B45&lt;$X$2,9,IF(B45&lt;$Y$2,10,IF(B45&lt;$Z$2,11,IF(B45&lt;=$Z$3,12,0)))))))))))))</f>
        <v>0</v>
      </c>
      <c r="M45" s="135" t="s">
        <v>5</v>
      </c>
      <c r="O45" s="244"/>
      <c r="P45" s="244"/>
      <c r="Q45" s="244"/>
      <c r="R45" s="244"/>
      <c r="S45" s="244"/>
      <c r="T45" s="244"/>
      <c r="U45" s="244"/>
      <c r="V45" s="244"/>
      <c r="W45" s="244"/>
      <c r="X45" s="244"/>
      <c r="Y45" s="244"/>
      <c r="Z45" s="244"/>
      <c r="AA45" s="244"/>
      <c r="AB45" s="244"/>
    </row>
    <row r="46" spans="1:28" ht="13.35" customHeight="1" thickBot="1">
      <c r="A46" s="50" t="s">
        <v>5</v>
      </c>
      <c r="B46" s="141"/>
      <c r="C46" s="80"/>
      <c r="D46" s="93"/>
      <c r="E46" s="226"/>
      <c r="F46" s="89"/>
      <c r="G46" s="81"/>
      <c r="H46" s="82"/>
      <c r="I46" s="83" t="str">
        <f t="shared" si="7"/>
        <v/>
      </c>
      <c r="J46" s="361" t="str">
        <f t="shared" si="8"/>
        <v/>
      </c>
      <c r="K46" s="200">
        <v>45</v>
      </c>
      <c r="L46" s="133">
        <f t="shared" si="9"/>
        <v>0</v>
      </c>
      <c r="M46" s="135" t="s">
        <v>5</v>
      </c>
      <c r="O46" s="244"/>
      <c r="P46" s="244"/>
      <c r="Q46" s="244"/>
      <c r="R46" s="244"/>
      <c r="S46" s="244"/>
      <c r="T46" s="244"/>
      <c r="U46" s="244"/>
      <c r="V46" s="244"/>
      <c r="W46" s="244"/>
      <c r="X46" s="244"/>
      <c r="Y46" s="244"/>
      <c r="Z46" s="244"/>
      <c r="AA46" s="244"/>
      <c r="AB46" s="244"/>
    </row>
    <row r="47" spans="1:28" ht="12" customHeight="1" thickTop="1" thickBot="1">
      <c r="A47" s="391" t="s">
        <v>283</v>
      </c>
      <c r="B47" s="1244" t="str">
        <f>IF($A$48=0,"^ Zeile einfügen","bis hierher ziehen!")</f>
        <v>^ Zeile einfügen</v>
      </c>
      <c r="C47" s="1244"/>
      <c r="D47" s="392" t="s">
        <v>5</v>
      </c>
      <c r="E47" s="393" t="s">
        <v>5</v>
      </c>
      <c r="F47" s="394" t="s">
        <v>5</v>
      </c>
      <c r="G47" s="394"/>
      <c r="H47" s="395"/>
      <c r="I47" s="396"/>
      <c r="J47" s="425"/>
      <c r="K47" s="201">
        <v>0</v>
      </c>
      <c r="L47" s="185" t="s">
        <v>5</v>
      </c>
      <c r="M47" s="398" t="s">
        <v>283</v>
      </c>
    </row>
    <row r="48" spans="1:28" ht="12" customHeight="1" thickTop="1" thickBot="1">
      <c r="A48" s="390">
        <f>COUNTBLANK(A3:A47)+A49</f>
        <v>0</v>
      </c>
      <c r="B48" s="193" t="str">
        <f>+EÜR!C47</f>
        <v>ü</v>
      </c>
      <c r="C48" s="194" t="s">
        <v>5</v>
      </c>
      <c r="D48" s="194" t="s">
        <v>5</v>
      </c>
      <c r="E48" s="195" t="s">
        <v>5</v>
      </c>
      <c r="F48" s="196" t="s">
        <v>5</v>
      </c>
      <c r="G48" s="197">
        <f>SUBTOTAL(9,G3:G47)</f>
        <v>0</v>
      </c>
      <c r="H48" s="1242">
        <f>SUBTOTAL(9,I3:I47)</f>
        <v>0</v>
      </c>
      <c r="I48" s="1243">
        <f>SUBTOTAL(9,I3:I47)</f>
        <v>0</v>
      </c>
      <c r="J48" s="1293">
        <f>G48-H48</f>
        <v>0</v>
      </c>
      <c r="K48" s="1294"/>
      <c r="L48" s="1295"/>
      <c r="M48" s="135" t="s">
        <v>5</v>
      </c>
    </row>
    <row r="49" spans="1:14" ht="12" customHeight="1" thickTop="1" thickBot="1">
      <c r="A49" s="390">
        <f>IF(ISERROR(J47),1,0)</f>
        <v>0</v>
      </c>
      <c r="B49" s="192">
        <f>J48-G49-E49-C49</f>
        <v>0</v>
      </c>
      <c r="C49" s="1239">
        <f>SUMIF(F4:F47,"Kreditkarte",G4:G47)</f>
        <v>0</v>
      </c>
      <c r="D49" s="1239"/>
      <c r="E49" s="1240">
        <f>SUMIF(F4:F47,"Konto",G4:G47)</f>
        <v>0</v>
      </c>
      <c r="F49" s="1240"/>
      <c r="G49" s="1241">
        <f>SUMIF(F4:F47,"Geldbeutel",G4:G47)</f>
        <v>0</v>
      </c>
      <c r="H49" s="1241"/>
      <c r="I49" s="1241"/>
      <c r="J49" s="1296"/>
      <c r="K49" s="1297"/>
      <c r="L49" s="1298"/>
      <c r="M49" s="135" t="s">
        <v>5</v>
      </c>
    </row>
    <row r="50" spans="1:14" s="15" customFormat="1" ht="5.25" customHeight="1" thickTop="1">
      <c r="A50" s="36"/>
      <c r="B50" s="2"/>
      <c r="C50" s="3"/>
      <c r="D50" s="3"/>
      <c r="E50" s="1"/>
      <c r="G50" s="16"/>
      <c r="H50" s="16"/>
      <c r="I50" s="17"/>
      <c r="J50" s="18"/>
      <c r="K50" s="18"/>
      <c r="L50" s="31"/>
      <c r="N50" s="148"/>
    </row>
    <row r="51" spans="1:14">
      <c r="A51" s="36"/>
    </row>
  </sheetData>
  <sheetProtection formatCells="0" insertRows="0" deleteRows="0" selectLockedCells="1" sort="0" autoFilter="0"/>
  <mergeCells count="15">
    <mergeCell ref="C2:I2"/>
    <mergeCell ref="J2:L2"/>
    <mergeCell ref="AA9:AB9"/>
    <mergeCell ref="O10:Z10"/>
    <mergeCell ref="O11:Z11"/>
    <mergeCell ref="AA4:AB4"/>
    <mergeCell ref="AA13:AB13"/>
    <mergeCell ref="O14:Z14"/>
    <mergeCell ref="AA14:AB14"/>
    <mergeCell ref="J48:L49"/>
    <mergeCell ref="C49:D49"/>
    <mergeCell ref="E49:F49"/>
    <mergeCell ref="G49:I49"/>
    <mergeCell ref="H48:I48"/>
    <mergeCell ref="B47:C47"/>
  </mergeCells>
  <conditionalFormatting sqref="A4:A46">
    <cfRule type="expression" dxfId="442" priority="16">
      <formula>ISERROR(J4)</formula>
    </cfRule>
    <cfRule type="cellIs" dxfId="441" priority="17" operator="equal">
      <formula>""</formula>
    </cfRule>
  </conditionalFormatting>
  <conditionalFormatting sqref="A47:C47">
    <cfRule type="expression" dxfId="440" priority="7">
      <formula>$A$48&lt;&gt;0</formula>
    </cfRule>
  </conditionalFormatting>
  <conditionalFormatting sqref="B2">
    <cfRule type="expression" dxfId="439" priority="43" stopIfTrue="1">
      <formula>$B$48="x"</formula>
    </cfRule>
  </conditionalFormatting>
  <conditionalFormatting sqref="B4:B46">
    <cfRule type="cellIs" dxfId="436" priority="30" operator="equal">
      <formula>""</formula>
    </cfRule>
  </conditionalFormatting>
  <conditionalFormatting sqref="B48">
    <cfRule type="cellIs" dxfId="435" priority="66" operator="equal">
      <formula>"y"</formula>
    </cfRule>
  </conditionalFormatting>
  <conditionalFormatting sqref="B3:J3">
    <cfRule type="expression" dxfId="434" priority="9385">
      <formula>$B$48="x"</formula>
    </cfRule>
  </conditionalFormatting>
  <conditionalFormatting sqref="B4:J46">
    <cfRule type="expression" dxfId="433" priority="26">
      <formula>$B$1="x"</formula>
    </cfRule>
  </conditionalFormatting>
  <conditionalFormatting sqref="B3:L3">
    <cfRule type="expression" dxfId="432" priority="60">
      <formula>$B$48="x"</formula>
    </cfRule>
  </conditionalFormatting>
  <conditionalFormatting sqref="C4:D46">
    <cfRule type="expression" dxfId="431" priority="33">
      <formula>AND($B4&lt;&gt;"",$C4="")</formula>
    </cfRule>
  </conditionalFormatting>
  <conditionalFormatting sqref="C49:I49">
    <cfRule type="cellIs" dxfId="430" priority="65" stopIfTrue="1" operator="lessThan">
      <formula>0</formula>
    </cfRule>
    <cfRule type="cellIs" dxfId="429" priority="63" stopIfTrue="1" operator="greaterThanOrEqual">
      <formula>0</formula>
    </cfRule>
  </conditionalFormatting>
  <conditionalFormatting sqref="D47:J47">
    <cfRule type="expression" dxfId="428" priority="9">
      <formula>$A$48&lt;&gt;0</formula>
    </cfRule>
  </conditionalFormatting>
  <conditionalFormatting sqref="H4:H46">
    <cfRule type="expression" dxfId="427" priority="29">
      <formula>AND(G4&lt;&gt;"",H4="",$I$1&lt;&gt;"x")</formula>
    </cfRule>
  </conditionalFormatting>
  <conditionalFormatting sqref="H4:I46">
    <cfRule type="expression" dxfId="426" priority="27">
      <formula>AND($I4&lt;&gt;0,$I$1&lt;&gt;"ü")</formula>
    </cfRule>
    <cfRule type="expression" dxfId="425" priority="28">
      <formula>$I$1&lt;&gt;"ü"</formula>
    </cfRule>
  </conditionalFormatting>
  <conditionalFormatting sqref="J48:L48 C49:L49 C48:H48">
    <cfRule type="expression" dxfId="423" priority="62">
      <formula>$B$48="x"</formula>
    </cfRule>
  </conditionalFormatting>
  <conditionalFormatting sqref="J48:L49">
    <cfRule type="expression" dxfId="422" priority="61">
      <formula>AND($B$48="x",$J$48&lt;&gt;0)</formula>
    </cfRule>
  </conditionalFormatting>
  <conditionalFormatting sqref="K4:L46">
    <cfRule type="expression" dxfId="421" priority="15599">
      <formula>$B$48="x"</formula>
    </cfRule>
  </conditionalFormatting>
  <conditionalFormatting sqref="M3">
    <cfRule type="cellIs" dxfId="420" priority="25" operator="equal">
      <formula>""</formula>
    </cfRule>
  </conditionalFormatting>
  <conditionalFormatting sqref="M4:M46">
    <cfRule type="expression" dxfId="419" priority="23">
      <formula>ISERROR(J4)</formula>
    </cfRule>
    <cfRule type="cellIs" dxfId="418" priority="24" operator="equal">
      <formula>""</formula>
    </cfRule>
  </conditionalFormatting>
  <conditionalFormatting sqref="M47">
    <cfRule type="expression" dxfId="417" priority="8">
      <formula>$A$48&lt;&gt;0</formula>
    </cfRule>
  </conditionalFormatting>
  <conditionalFormatting sqref="M47:M49">
    <cfRule type="cellIs" dxfId="416" priority="11" operator="equal">
      <formula>""</formula>
    </cfRule>
  </conditionalFormatting>
  <conditionalFormatting sqref="N10:AB10">
    <cfRule type="expression" dxfId="415" priority="6">
      <formula>$N$2=0</formula>
    </cfRule>
  </conditionalFormatting>
  <conditionalFormatting sqref="O11:Z11">
    <cfRule type="cellIs" dxfId="414" priority="47" operator="equal">
      <formula>"Fehler!"</formula>
    </cfRule>
  </conditionalFormatting>
  <conditionalFormatting sqref="O4:AA4">
    <cfRule type="expression" dxfId="410" priority="42">
      <formula>$N$2=0</formula>
    </cfRule>
  </conditionalFormatting>
  <conditionalFormatting sqref="O2:AB3">
    <cfRule type="expression" dxfId="408" priority="1">
      <formula>$N$2=0</formula>
    </cfRule>
  </conditionalFormatting>
  <conditionalFormatting sqref="O5:AB8 O9:AA9">
    <cfRule type="expression" dxfId="407" priority="46">
      <formula>$N$2=0</formula>
    </cfRule>
  </conditionalFormatting>
  <conditionalFormatting sqref="O11:AB14">
    <cfRule type="expression" dxfId="406" priority="3">
      <formula>$N$2=0</formula>
    </cfRule>
  </conditionalFormatting>
  <conditionalFormatting sqref="O47:AB49">
    <cfRule type="expression" dxfId="405" priority="10">
      <formula>$N$2=0</formula>
    </cfRule>
  </conditionalFormatting>
  <dataValidations count="2">
    <dataValidation type="list" allowBlank="1" showInputMessage="1" showErrorMessage="1" sqref="F4:F46" xr:uid="{4BA0EDA2-0992-46F4-B797-F92AAF994758}">
      <formula1>"Konto,Geldbeutel,Kreditkarte,x"</formula1>
    </dataValidation>
    <dataValidation type="list" allowBlank="1" showInputMessage="1" showErrorMessage="1" sqref="H4:H46" xr:uid="{9AE6C63E-7631-4D3F-A015-6E34F968B071}">
      <formula1>"19,7,0,~"</formula1>
    </dataValidation>
  </dataValidations>
  <hyperlinks>
    <hyperlink ref="J2" location="'2022 EÜR'!A1" display="Menü" xr:uid="{89D1FCB5-4FC1-44FC-958F-0D94C8993F42}"/>
    <hyperlink ref="J2:L2" location="EÜR!A1" display="EÜR" xr:uid="{281E3E3F-AB72-47A1-A9FA-99A5E0CDDA2A}"/>
  </hyperlinks>
  <printOptions horizontalCentered="1"/>
  <pageMargins left="0" right="0" top="0" bottom="0.31496062992125984" header="0" footer="0"/>
  <pageSetup paperSize="9" orientation="portrait" r:id="rId1"/>
  <headerFooter>
    <oddFooter>&amp;L&amp;"Arial,Standard"&amp;8Datei: &amp;Z&amp;F/&amp;A&amp;C&amp;"Arial,Standard"&amp;8Seite &amp;P von &amp;N&amp;R&amp;"Arial,Standard"&amp;8Druck: &amp;D&amp;T Uhr</oddFooter>
  </headerFooter>
  <extLst>
    <ext xmlns:x14="http://schemas.microsoft.com/office/spreadsheetml/2009/9/main" uri="{78C0D931-6437-407d-A8EE-F0AAD7539E65}">
      <x14:conditionalFormattings>
        <x14:conditionalFormatting xmlns:xm="http://schemas.microsoft.com/office/excel/2006/main">
          <x14:cfRule type="cellIs" priority="31" operator="greaterThan" id="{2CC13E98-DF9C-498C-99A1-FFAA35128432}">
            <xm:f>EÜR!$I$78</xm:f>
            <x14:dxf>
              <font>
                <b/>
                <i val="0"/>
                <color rgb="FFFFFF00"/>
              </font>
              <fill>
                <patternFill>
                  <bgColor rgb="FFC00000"/>
                </patternFill>
              </fill>
            </x14:dxf>
          </x14:cfRule>
          <x14:cfRule type="cellIs" priority="32" operator="lessThan" id="{EB24C440-22DA-42ED-9ECA-7782E9100731}">
            <xm:f>EÜR!$I$77</xm:f>
            <x14:dxf>
              <font>
                <b/>
                <i val="0"/>
                <color rgb="FFFFFF00"/>
              </font>
              <fill>
                <patternFill>
                  <bgColor rgb="FFC00000"/>
                </patternFill>
              </fill>
            </x14:dxf>
          </x14:cfRule>
          <xm:sqref>B4:B46</xm:sqref>
        </x14:conditionalFormatting>
        <x14:conditionalFormatting xmlns:xm="http://schemas.microsoft.com/office/excel/2006/main">
          <x14:cfRule type="expression" priority="44" id="{B6139F00-DC0B-4435-AD28-6A4F3B6A21AF}">
            <xm:f>AND(EÜR!$J$66&lt;&gt;"ü",$H$48&lt;&gt;0)</xm:f>
            <x14:dxf>
              <font>
                <b/>
                <i val="0"/>
                <color rgb="FFFFFF00"/>
              </font>
              <fill>
                <patternFill>
                  <bgColor rgb="FFFF0000"/>
                </patternFill>
              </fill>
            </x14:dxf>
          </x14:cfRule>
          <xm:sqref>H48:I48</xm:sqref>
        </x14:conditionalFormatting>
        <x14:conditionalFormatting xmlns:xm="http://schemas.microsoft.com/office/excel/2006/main">
          <x14:cfRule type="expression" priority="48" id="{DA2CF844-1001-4B4A-A732-13678FBF90F0}">
            <xm:f>AND(O13&lt;&gt;0,U!L36="!",U!L37="!")</xm:f>
            <x14:dxf>
              <font>
                <b/>
                <i val="0"/>
                <color rgb="FFFF0000"/>
              </font>
              <fill>
                <patternFill>
                  <bgColor rgb="FFFFCCCC"/>
                </patternFill>
              </fill>
            </x14:dxf>
          </x14:cfRule>
          <x14:cfRule type="expression" priority="49" id="{FFA8955B-74AD-4B9B-9C3A-9250447AFDD9}">
            <xm:f>U!L37&lt;&gt;"!"</xm:f>
            <x14:dxf>
              <font>
                <b/>
                <i val="0"/>
                <color rgb="FF006666"/>
              </font>
              <fill>
                <patternFill>
                  <bgColor theme="6" tint="0.39994506668294322"/>
                </patternFill>
              </fill>
            </x14:dxf>
          </x14:cfRule>
          <x14:cfRule type="expression" priority="50" id="{33029C1C-9430-4082-A633-077E644C0718}">
            <xm:f>U!L36&lt;&gt;"!"</xm:f>
            <x14:dxf>
              <font>
                <b/>
                <i val="0"/>
                <color theme="9" tint="-0.499984740745262"/>
              </font>
              <fill>
                <patternFill>
                  <bgColor rgb="FFFFFF99"/>
                </patternFill>
              </fill>
            </x14:dxf>
          </x14:cfRule>
          <xm:sqref>O13:Z13</xm:sqref>
        </x14:conditionalFormatting>
        <x14:conditionalFormatting xmlns:xm="http://schemas.microsoft.com/office/excel/2006/main">
          <x14:cfRule type="expression" priority="2" id="{D328E6AA-12D8-42AD-8CFD-48B1242A3DF8}">
            <xm:f>EÜR!$J$66="-"</xm:f>
            <x14:dxf>
              <font>
                <b/>
                <i val="0"/>
                <color theme="0"/>
              </font>
              <fill>
                <patternFill>
                  <bgColor theme="0"/>
                </patternFill>
              </fill>
              <border>
                <left/>
                <right/>
                <top/>
                <bottom/>
              </border>
            </x14:dxf>
          </x14:cfRule>
          <xm:sqref>O12:AA14</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666A23-6B48-4C3A-83AC-40709FA8B78F}">
  <sheetPr codeName="Tabelle7">
    <tabColor theme="6" tint="0.39997558519241921"/>
    <pageSetUpPr autoPageBreaks="0"/>
  </sheetPr>
  <dimension ref="A1:AB51"/>
  <sheetViews>
    <sheetView showGridLines="0" showRowColHeaders="0" zoomScaleNormal="100" workbookViewId="0">
      <pane ySplit="3" topLeftCell="A4" activePane="bottomLeft" state="frozen"/>
      <selection activeCell="E4" sqref="E4:E46"/>
      <selection pane="bottomLeft" activeCell="A4" sqref="A4"/>
    </sheetView>
  </sheetViews>
  <sheetFormatPr baseColWidth="10" defaultColWidth="9.77734375" defaultRowHeight="12.75"/>
  <cols>
    <col min="1" max="1" width="0.77734375" style="12" customWidth="1"/>
    <col min="2" max="2" width="7.6640625" style="30" customWidth="1"/>
    <col min="3" max="3" width="21.6640625" style="24" customWidth="1"/>
    <col min="4" max="4" width="7.6640625" style="24" customWidth="1"/>
    <col min="5" max="5" width="6.6640625" style="25" customWidth="1"/>
    <col min="6" max="6" width="9.6640625" style="26" customWidth="1"/>
    <col min="7" max="7" width="9.6640625" style="27" customWidth="1"/>
    <col min="8" max="8" width="2.6640625" style="28" customWidth="1"/>
    <col min="9" max="9" width="6.6640625" style="29" customWidth="1"/>
    <col min="10" max="10" width="9.6640625" style="27" customWidth="1"/>
    <col min="11" max="11" width="2.5546875" style="27" hidden="1" customWidth="1"/>
    <col min="12" max="12" width="1.5546875" style="32" hidden="1" customWidth="1"/>
    <col min="13" max="13" width="0.77734375" style="13" customWidth="1"/>
    <col min="14" max="14" width="1.77734375" style="147" customWidth="1"/>
    <col min="15" max="26" width="8.77734375" style="13" customWidth="1"/>
    <col min="27" max="27" width="10.33203125" style="13" customWidth="1"/>
    <col min="28" max="28" width="8.33203125" style="13" customWidth="1"/>
    <col min="29" max="16384" width="9.77734375" style="13"/>
  </cols>
  <sheetData>
    <row r="1" spans="1:28" s="37" customFormat="1" ht="3" customHeight="1" thickBot="1">
      <c r="A1" s="36"/>
      <c r="B1" s="53" t="str">
        <f>+B48</f>
        <v>ü</v>
      </c>
      <c r="C1" s="54">
        <f>+C49</f>
        <v>0</v>
      </c>
      <c r="D1" s="54"/>
      <c r="E1" s="53">
        <f>+E49</f>
        <v>0</v>
      </c>
      <c r="F1" s="53"/>
      <c r="G1" s="54">
        <f>+G49</f>
        <v>0</v>
      </c>
      <c r="H1" s="53"/>
      <c r="I1" s="338" t="str">
        <f>+EÜR!J66</f>
        <v>-</v>
      </c>
      <c r="J1" s="54">
        <f>+J48</f>
        <v>0</v>
      </c>
      <c r="K1" s="198"/>
      <c r="L1" s="56"/>
      <c r="N1" s="190"/>
    </row>
    <row r="2" spans="1:28" ht="23.1" customHeight="1" thickTop="1" thickBot="1">
      <c r="A2" s="36"/>
      <c r="B2" s="294" t="str">
        <f>+EÜR!D10</f>
        <v>E03</v>
      </c>
      <c r="C2" s="1245" t="str">
        <f>+EÜR!F10</f>
        <v>Veräußerung/Entnahme von Anlagevermögen</v>
      </c>
      <c r="D2" s="1246"/>
      <c r="E2" s="1246"/>
      <c r="F2" s="1246"/>
      <c r="G2" s="1246"/>
      <c r="H2" s="1246"/>
      <c r="I2" s="1247"/>
      <c r="J2" s="1227" t="s">
        <v>8</v>
      </c>
      <c r="K2" s="1228"/>
      <c r="L2" s="1229"/>
      <c r="M2" s="134"/>
      <c r="N2" s="190">
        <f>IF(OR(B48="x",N3=1),0,1)</f>
        <v>1</v>
      </c>
      <c r="O2" s="188">
        <f>+EOMONTH(EÜR!$I$3,-1)+1</f>
        <v>46023</v>
      </c>
      <c r="P2" s="188">
        <f t="shared" ref="P2:Z2" si="0">+O3+1</f>
        <v>46054</v>
      </c>
      <c r="Q2" s="188">
        <f t="shared" si="0"/>
        <v>46082</v>
      </c>
      <c r="R2" s="188">
        <f t="shared" si="0"/>
        <v>46113</v>
      </c>
      <c r="S2" s="188">
        <f t="shared" si="0"/>
        <v>46143</v>
      </c>
      <c r="T2" s="188">
        <f t="shared" si="0"/>
        <v>46174</v>
      </c>
      <c r="U2" s="188">
        <f t="shared" si="0"/>
        <v>46204</v>
      </c>
      <c r="V2" s="188">
        <f t="shared" si="0"/>
        <v>46235</v>
      </c>
      <c r="W2" s="188">
        <f t="shared" si="0"/>
        <v>46266</v>
      </c>
      <c r="X2" s="188">
        <f t="shared" si="0"/>
        <v>46296</v>
      </c>
      <c r="Y2" s="188">
        <f t="shared" si="0"/>
        <v>46327</v>
      </c>
      <c r="Z2" s="188">
        <f t="shared" si="0"/>
        <v>46357</v>
      </c>
      <c r="AA2" s="48"/>
    </row>
    <row r="3" spans="1:28" ht="14.25" customHeight="1" thickTop="1">
      <c r="A3" s="36" t="s">
        <v>5</v>
      </c>
      <c r="B3" s="58" t="s">
        <v>1</v>
      </c>
      <c r="C3" s="59" t="s">
        <v>6</v>
      </c>
      <c r="D3" s="60"/>
      <c r="E3" s="310" t="s">
        <v>7</v>
      </c>
      <c r="F3" s="61" t="s">
        <v>4</v>
      </c>
      <c r="G3" s="62" t="s">
        <v>31</v>
      </c>
      <c r="H3" s="63" t="s">
        <v>33</v>
      </c>
      <c r="I3" s="64" t="s">
        <v>32</v>
      </c>
      <c r="J3" s="360" t="s">
        <v>143</v>
      </c>
      <c r="K3" s="199">
        <v>0</v>
      </c>
      <c r="L3" s="65" t="s">
        <v>5</v>
      </c>
      <c r="M3" s="135" t="s">
        <v>5</v>
      </c>
      <c r="N3" s="222">
        <f>IF(SUBTOTAL(109,K3:K47)&lt;&gt;SUM(K3:K47),1,0)</f>
        <v>0</v>
      </c>
      <c r="O3" s="189">
        <f>EOMONTH(O2,0)</f>
        <v>46053</v>
      </c>
      <c r="P3" s="189">
        <f t="shared" ref="P3:Z3" si="1">EOMONTH(P2,0)</f>
        <v>46081</v>
      </c>
      <c r="Q3" s="189">
        <f t="shared" si="1"/>
        <v>46112</v>
      </c>
      <c r="R3" s="189">
        <f t="shared" si="1"/>
        <v>46142</v>
      </c>
      <c r="S3" s="189">
        <f t="shared" si="1"/>
        <v>46173</v>
      </c>
      <c r="T3" s="189">
        <f t="shared" si="1"/>
        <v>46203</v>
      </c>
      <c r="U3" s="189">
        <f t="shared" si="1"/>
        <v>46234</v>
      </c>
      <c r="V3" s="189">
        <f t="shared" si="1"/>
        <v>46265</v>
      </c>
      <c r="W3" s="189">
        <f t="shared" si="1"/>
        <v>46295</v>
      </c>
      <c r="X3" s="189">
        <f t="shared" si="1"/>
        <v>46326</v>
      </c>
      <c r="Y3" s="189">
        <f t="shared" si="1"/>
        <v>46356</v>
      </c>
      <c r="Z3" s="189">
        <f t="shared" si="1"/>
        <v>46387</v>
      </c>
      <c r="AB3" s="14"/>
    </row>
    <row r="4" spans="1:28" ht="13.35" customHeight="1">
      <c r="A4" s="50" t="s">
        <v>5</v>
      </c>
      <c r="B4" s="141"/>
      <c r="C4" s="80"/>
      <c r="D4" s="93"/>
      <c r="E4" s="969"/>
      <c r="F4" s="385"/>
      <c r="G4" s="81"/>
      <c r="H4" s="82"/>
      <c r="I4" s="83" t="str">
        <f t="shared" ref="I4:I44" si="2">IF(G4&lt;&gt;"",+G4-G4/(1+H4/100),"")</f>
        <v/>
      </c>
      <c r="J4" s="282" t="str">
        <f t="shared" ref="J4:J44" si="3">IF(G4&lt;&gt;0,+G4-I4,"")</f>
        <v/>
      </c>
      <c r="K4" s="200">
        <v>1</v>
      </c>
      <c r="L4" s="133">
        <f>IF(B4&lt;$O$2,0,IF(B4&lt;$P$2,1,IF(B4&lt;$Q$2,2,IF(B4&lt;$R$2,3,IF(B4&lt;$S$2,4,IF(B4&lt;$T$2,5,IF(B4&lt;$U$2,6,IF(B4&lt;$V$2,7,IF(B4&lt;$W$2,8,IF(B4&lt;$X$2,9,IF(B4&lt;$Y$2,10,IF(B4&lt;$Z$2,11,IF(B4&lt;=$Z$3,12,0)))))))))))))</f>
        <v>0</v>
      </c>
      <c r="M4" s="135" t="s">
        <v>5</v>
      </c>
      <c r="N4" s="190">
        <f>+N10+AA12+AA16</f>
        <v>0</v>
      </c>
      <c r="O4" s="251" t="s">
        <v>36</v>
      </c>
      <c r="P4" s="251" t="s">
        <v>37</v>
      </c>
      <c r="Q4" s="251" t="s">
        <v>38</v>
      </c>
      <c r="R4" s="251" t="s">
        <v>39</v>
      </c>
      <c r="S4" s="251" t="s">
        <v>40</v>
      </c>
      <c r="T4" s="251" t="s">
        <v>41</v>
      </c>
      <c r="U4" s="251" t="s">
        <v>42</v>
      </c>
      <c r="V4" s="251" t="s">
        <v>43</v>
      </c>
      <c r="W4" s="251" t="s">
        <v>44</v>
      </c>
      <c r="X4" s="251" t="s">
        <v>45</v>
      </c>
      <c r="Y4" s="251" t="s">
        <v>46</v>
      </c>
      <c r="Z4" s="251" t="s">
        <v>47</v>
      </c>
      <c r="AA4" s="1209" t="s">
        <v>255</v>
      </c>
      <c r="AB4" s="1210"/>
    </row>
    <row r="5" spans="1:28" ht="13.35" customHeight="1">
      <c r="A5" s="50" t="s">
        <v>5</v>
      </c>
      <c r="B5" s="141"/>
      <c r="C5" s="80"/>
      <c r="D5" s="93"/>
      <c r="E5" s="969"/>
      <c r="F5" s="385"/>
      <c r="G5" s="81"/>
      <c r="H5" s="82"/>
      <c r="I5" s="83" t="str">
        <f t="shared" si="2"/>
        <v/>
      </c>
      <c r="J5" s="282" t="str">
        <f t="shared" si="3"/>
        <v/>
      </c>
      <c r="K5" s="200">
        <v>2</v>
      </c>
      <c r="L5" s="133">
        <f t="shared" ref="L5:L44" si="4">IF(B5&lt;$O$2,0,IF(B5&lt;$P$2,1,IF(B5&lt;$Q$2,2,IF(B5&lt;$R$2,3,IF(B5&lt;$S$2,4,IF(B5&lt;$T$2,5,IF(B5&lt;$U$2,6,IF(B5&lt;$V$2,7,IF(B5&lt;$W$2,8,IF(B5&lt;$X$2,9,IF(B5&lt;$Y$2,10,IF(B5&lt;$Z$2,11,IF(B5&lt;=$Z$3,12,0)))))))))))))</f>
        <v>0</v>
      </c>
      <c r="M5" s="135" t="s">
        <v>5</v>
      </c>
      <c r="O5" s="252">
        <f>SUMIFS($G$3:$G$47,$L$3:$L$47,1,$F$3:$F$47,"Konto")</f>
        <v>0</v>
      </c>
      <c r="P5" s="252">
        <f>SUMIFS($G$3:$G$47,$L$3:$L$47,2,$F$3:$F$47,"Konto")</f>
        <v>0</v>
      </c>
      <c r="Q5" s="252">
        <f>SUMIFS($G$3:$G$47,$L$3:$L$47,3,$F$3:$F$47,"Konto")</f>
        <v>0</v>
      </c>
      <c r="R5" s="252">
        <f>SUMIFS($G$3:$G$47,$L$3:$L$47,4,$F$3:$F$47,"Konto")</f>
        <v>0</v>
      </c>
      <c r="S5" s="252">
        <f>SUMIFS($G$3:$G$47,$L$3:$L$47,5,$F$3:$F$47,"Konto")</f>
        <v>0</v>
      </c>
      <c r="T5" s="252">
        <f>SUMIFS($G$3:$G$47,$L$3:$L$47,6,$F$3:$F$47,"Konto")</f>
        <v>0</v>
      </c>
      <c r="U5" s="252">
        <f>SUMIFS($G$3:$G$47,$L$3:$L$47,7,$F$3:$F$47,"Konto")</f>
        <v>0</v>
      </c>
      <c r="V5" s="252">
        <f>SUMIFS($G$3:$G$47,$L$3:$L$47,8,$F$3:$F$47,"Konto")</f>
        <v>0</v>
      </c>
      <c r="W5" s="252">
        <f>SUMIFS($G$3:$G$47,$L$3:$L$47,9,$F$3:$F$47,"Konto")</f>
        <v>0</v>
      </c>
      <c r="X5" s="252">
        <f>SUMIFS($G$3:$G$47,$L$3:$L$47,10,$F$3:$F$47,"Konto")</f>
        <v>0</v>
      </c>
      <c r="Y5" s="252">
        <f>SUMIFS($G$3:$G$47,$L$3:$L$47,11,$F$3:$F$47,"Konto")</f>
        <v>0</v>
      </c>
      <c r="Z5" s="252">
        <f>SUMIFS($G$3:$G$47,$L$3:$L$47,12,$F$3:$F$47,"Konto")</f>
        <v>0</v>
      </c>
      <c r="AA5" s="253">
        <f>SUM(O5:Z5)</f>
        <v>0</v>
      </c>
      <c r="AB5" s="254" t="s">
        <v>140</v>
      </c>
    </row>
    <row r="6" spans="1:28" ht="13.35" customHeight="1">
      <c r="A6" s="50" t="s">
        <v>5</v>
      </c>
      <c r="B6" s="141"/>
      <c r="C6" s="80"/>
      <c r="D6" s="93"/>
      <c r="E6" s="969"/>
      <c r="F6" s="385"/>
      <c r="G6" s="81"/>
      <c r="H6" s="82"/>
      <c r="I6" s="83" t="str">
        <f t="shared" si="2"/>
        <v/>
      </c>
      <c r="J6" s="282" t="str">
        <f t="shared" si="3"/>
        <v/>
      </c>
      <c r="K6" s="200">
        <v>3</v>
      </c>
      <c r="L6" s="133">
        <f t="shared" si="4"/>
        <v>0</v>
      </c>
      <c r="M6" s="135" t="s">
        <v>5</v>
      </c>
      <c r="N6" s="190"/>
      <c r="O6" s="252">
        <f>SUMIFS($G$3:$G$47,$L$3:$L$47,1,$F$3:$F$47,"Kreditkarte")</f>
        <v>0</v>
      </c>
      <c r="P6" s="252">
        <f>SUMIFS($G$3:$G$47,$L$3:$L$47,2,$F$3:$F$47,"Kreditkarte")</f>
        <v>0</v>
      </c>
      <c r="Q6" s="252">
        <f>SUMIFS($G$3:$G$47,$L$3:$L$47,3,$F$3:$F$47,"Kreditkarte")</f>
        <v>0</v>
      </c>
      <c r="R6" s="252">
        <f>SUMIFS($G$3:$G$47,$L$3:$L$47,4,$F$3:$F$47,"Kreditkarte")</f>
        <v>0</v>
      </c>
      <c r="S6" s="252">
        <f>SUMIFS($G$3:$G$47,$L$3:$L$47,5,$F$3:$F$47,"Kreditkarte")</f>
        <v>0</v>
      </c>
      <c r="T6" s="252">
        <f>SUMIFS($G$3:$G$47,$L$3:$L$47,6,$F$3:$F$47,"Kreditkarte")</f>
        <v>0</v>
      </c>
      <c r="U6" s="252">
        <f>SUMIFS($G$3:$G$47,$L$3:$L$47,7,$F$3:$F$47,"Kreditkarte")</f>
        <v>0</v>
      </c>
      <c r="V6" s="252">
        <f>SUMIFS($G$3:$G$47,$L$3:$L$47,8,$F$3:$F$47,"Kreditkarte")</f>
        <v>0</v>
      </c>
      <c r="W6" s="252">
        <f>SUMIFS($G$3:$G$47,$L$3:$L$47,9,$F$3:$F$47,"Kreditkarte")</f>
        <v>0</v>
      </c>
      <c r="X6" s="252">
        <f>SUMIFS($G$3:$G$47,$L$3:$L$47,10,$F$3:$F$47,"Kreditkarte")</f>
        <v>0</v>
      </c>
      <c r="Y6" s="252">
        <f>SUMIFS($G$3:$G$47,$L$3:$L$47,11,$F$3:$F$47,"Kreditkarte")</f>
        <v>0</v>
      </c>
      <c r="Z6" s="252">
        <f>SUMIFS($G$3:$G$47,$L$3:$L$47,12,$F$3:$F$47,"Kreditkarte")</f>
        <v>0</v>
      </c>
      <c r="AA6" s="255">
        <f t="shared" ref="AA6:AA8" si="5">SUM(O6:Z6)</f>
        <v>0</v>
      </c>
      <c r="AB6" s="256" t="s">
        <v>142</v>
      </c>
    </row>
    <row r="7" spans="1:28" ht="13.35" customHeight="1">
      <c r="A7" s="50" t="s">
        <v>5</v>
      </c>
      <c r="B7" s="141"/>
      <c r="C7" s="80"/>
      <c r="D7" s="93"/>
      <c r="E7" s="969"/>
      <c r="F7" s="385"/>
      <c r="G7" s="81"/>
      <c r="H7" s="82"/>
      <c r="I7" s="83" t="str">
        <f t="shared" si="2"/>
        <v/>
      </c>
      <c r="J7" s="282" t="str">
        <f t="shared" si="3"/>
        <v/>
      </c>
      <c r="K7" s="200">
        <v>4</v>
      </c>
      <c r="L7" s="133">
        <f t="shared" si="4"/>
        <v>0</v>
      </c>
      <c r="M7" s="135" t="s">
        <v>5</v>
      </c>
      <c r="O7" s="252">
        <f>SUMIFS($G$3:$G$47,$L$3:$L$47,1,$F$3:$F$47,"Geldbeutel")</f>
        <v>0</v>
      </c>
      <c r="P7" s="252">
        <f>SUMIFS($G$3:$G$47,$L$3:$L$47,2,$F$3:$F$47,"Geldbeutel")</f>
        <v>0</v>
      </c>
      <c r="Q7" s="252">
        <f>SUMIFS($G$3:$G$47,$L$3:$L$47,3,$F$3:$F$47,"Geldbeutel")</f>
        <v>0</v>
      </c>
      <c r="R7" s="252">
        <f>SUMIFS($G$3:$G$47,$L$3:$L$47,4,$F$3:$F$47,"Geldbeutel")</f>
        <v>0</v>
      </c>
      <c r="S7" s="252">
        <f>SUMIFS($G$3:$G$47,$L$3:$L$47,5,$F$3:$F$47,"Geldbeutel")</f>
        <v>0</v>
      </c>
      <c r="T7" s="252">
        <f>SUMIFS($G$3:$G$47,$L$3:$L$47,6,$F$3:$F$47,"Geldbeutel")</f>
        <v>0</v>
      </c>
      <c r="U7" s="252">
        <f>SUMIFS($G$3:$G$47,$L$3:$L$47,7,$F$3:$F$47,"Geldbeutel")</f>
        <v>0</v>
      </c>
      <c r="V7" s="252">
        <f>SUMIFS($G$3:$G$47,$L$3:$L$47,8,$F$3:$F$47,"Geldbeutel")</f>
        <v>0</v>
      </c>
      <c r="W7" s="252">
        <f>SUMIFS($G$3:$G$47,$L$3:$L$47,9,$F$3:$F$47,"Geldbeutel")</f>
        <v>0</v>
      </c>
      <c r="X7" s="252">
        <f>SUMIFS($G$3:$G$47,$L$3:$L$47,10,$F$3:$F$47,"Geldbeutel")</f>
        <v>0</v>
      </c>
      <c r="Y7" s="252">
        <f>SUMIFS($G$3:$G$47,$L$3:$L$47,11,$F$3:$F$47,"Geldbeutel")</f>
        <v>0</v>
      </c>
      <c r="Z7" s="252">
        <f>SUMIFS($G$3:$G$47,$L$3:$L$47,12,$F$3:$F$47,"Geldbeutel")</f>
        <v>0</v>
      </c>
      <c r="AA7" s="253">
        <f t="shared" si="5"/>
        <v>0</v>
      </c>
      <c r="AB7" s="254" t="s">
        <v>139</v>
      </c>
    </row>
    <row r="8" spans="1:28" ht="13.35" customHeight="1">
      <c r="A8" s="50" t="s">
        <v>5</v>
      </c>
      <c r="B8" s="141"/>
      <c r="C8" s="80"/>
      <c r="D8" s="93"/>
      <c r="E8" s="969"/>
      <c r="F8" s="385"/>
      <c r="G8" s="81"/>
      <c r="H8" s="82"/>
      <c r="I8" s="83" t="str">
        <f t="shared" si="2"/>
        <v/>
      </c>
      <c r="J8" s="282" t="str">
        <f t="shared" si="3"/>
        <v/>
      </c>
      <c r="K8" s="200">
        <v>5</v>
      </c>
      <c r="L8" s="133">
        <f t="shared" si="4"/>
        <v>0</v>
      </c>
      <c r="M8" s="135" t="s">
        <v>5</v>
      </c>
      <c r="O8" s="252">
        <f>SUMIFS($G$3:$G$47,$L$3:$L$47,1,$F$3:$F$47,"X")</f>
        <v>0</v>
      </c>
      <c r="P8" s="252">
        <f>SUMIFS($G$3:$G$47,$L$3:$L$47,2,$F$3:$F$47,"X")</f>
        <v>0</v>
      </c>
      <c r="Q8" s="252">
        <f>SUMIFS($G$3:$G$47,$L$3:$L$47,3,$F$3:$F$47,"X")</f>
        <v>0</v>
      </c>
      <c r="R8" s="252">
        <f>SUMIFS($G$3:$G$47,$L$3:$L$47,4,$F$3:$F$47,"X")</f>
        <v>0</v>
      </c>
      <c r="S8" s="252">
        <f>SUMIFS($G$3:$G$47,$L$3:$L$47,5,$F$3:$F$47,"X")</f>
        <v>0</v>
      </c>
      <c r="T8" s="252">
        <f>SUMIFS($G$3:$G$47,$L$3:$L$47,6,$F$3:$F$47,"X")</f>
        <v>0</v>
      </c>
      <c r="U8" s="252">
        <f>SUMIFS($G$3:$G$47,$L$3:$L$47,7,$F$3:$F$47,"X")</f>
        <v>0</v>
      </c>
      <c r="V8" s="252">
        <f>SUMIFS($G$3:$G$47,$L$3:$L$47,8,$F$3:$F$47,"X")</f>
        <v>0</v>
      </c>
      <c r="W8" s="252">
        <f>SUMIFS($G$3:$G$47,$L$3:$L$47,9,$F$3:$F$47,"X")</f>
        <v>0</v>
      </c>
      <c r="X8" s="252">
        <f>SUMIFS($G$3:$G$47,$L$3:$L$47,10,$F$3:$F$47,"X")</f>
        <v>0</v>
      </c>
      <c r="Y8" s="252">
        <f>SUMIFS($G$3:$G$47,$L$3:$L$47,11,$F$3:$F$47,"X")</f>
        <v>0</v>
      </c>
      <c r="Z8" s="252">
        <f>SUMIFS($G$3:$G$47,$L$3:$L$47,12,$F$3:$F$47,"X")</f>
        <v>0</v>
      </c>
      <c r="AA8" s="255">
        <f t="shared" si="5"/>
        <v>0</v>
      </c>
      <c r="AB8" s="256" t="s">
        <v>192</v>
      </c>
    </row>
    <row r="9" spans="1:28" ht="13.35" customHeight="1">
      <c r="A9" s="50" t="s">
        <v>5</v>
      </c>
      <c r="B9" s="141"/>
      <c r="C9" s="80"/>
      <c r="D9" s="93"/>
      <c r="E9" s="969"/>
      <c r="F9" s="385"/>
      <c r="G9" s="81"/>
      <c r="H9" s="82"/>
      <c r="I9" s="83" t="str">
        <f t="shared" si="2"/>
        <v/>
      </c>
      <c r="J9" s="282" t="str">
        <f t="shared" si="3"/>
        <v/>
      </c>
      <c r="K9" s="200">
        <v>6</v>
      </c>
      <c r="L9" s="133">
        <f t="shared" si="4"/>
        <v>0</v>
      </c>
      <c r="M9" s="135" t="s">
        <v>5</v>
      </c>
      <c r="N9" s="191">
        <f>IF(OR(AND(AA14&lt;&gt;0,B48="x"),(O14+AA13)&lt;&gt;H48),1,0)</f>
        <v>0</v>
      </c>
      <c r="O9" s="257">
        <f>SUM(O5:O8)</f>
        <v>0</v>
      </c>
      <c r="P9" s="257">
        <f t="shared" ref="P9:Z9" si="6">SUM(P5:P8)</f>
        <v>0</v>
      </c>
      <c r="Q9" s="257">
        <f t="shared" si="6"/>
        <v>0</v>
      </c>
      <c r="R9" s="257">
        <f t="shared" si="6"/>
        <v>0</v>
      </c>
      <c r="S9" s="257">
        <f t="shared" si="6"/>
        <v>0</v>
      </c>
      <c r="T9" s="257">
        <f t="shared" si="6"/>
        <v>0</v>
      </c>
      <c r="U9" s="257">
        <f t="shared" si="6"/>
        <v>0</v>
      </c>
      <c r="V9" s="257">
        <f t="shared" si="6"/>
        <v>0</v>
      </c>
      <c r="W9" s="257">
        <f t="shared" si="6"/>
        <v>0</v>
      </c>
      <c r="X9" s="257">
        <f t="shared" si="6"/>
        <v>0</v>
      </c>
      <c r="Y9" s="257">
        <f t="shared" si="6"/>
        <v>0</v>
      </c>
      <c r="Z9" s="257">
        <f t="shared" si="6"/>
        <v>0</v>
      </c>
      <c r="AA9" s="1211" t="s">
        <v>197</v>
      </c>
      <c r="AB9" s="1212"/>
    </row>
    <row r="10" spans="1:28" ht="13.35" customHeight="1">
      <c r="A10" s="50" t="s">
        <v>5</v>
      </c>
      <c r="B10" s="141"/>
      <c r="C10" s="80"/>
      <c r="D10" s="93"/>
      <c r="E10" s="969"/>
      <c r="F10" s="385"/>
      <c r="G10" s="81"/>
      <c r="H10" s="82"/>
      <c r="I10" s="83" t="str">
        <f t="shared" si="2"/>
        <v/>
      </c>
      <c r="J10" s="282" t="str">
        <f t="shared" si="3"/>
        <v/>
      </c>
      <c r="K10" s="200">
        <v>7</v>
      </c>
      <c r="L10" s="133">
        <f t="shared" si="4"/>
        <v>0</v>
      </c>
      <c r="M10" s="135" t="s">
        <v>5</v>
      </c>
      <c r="N10" s="259">
        <f>IF(O10+AA10&lt;&gt;G48,1,0)</f>
        <v>0</v>
      </c>
      <c r="O10" s="1230">
        <f>SUM(O5:Z8)</f>
        <v>0</v>
      </c>
      <c r="P10" s="1231"/>
      <c r="Q10" s="1231"/>
      <c r="R10" s="1231"/>
      <c r="S10" s="1231"/>
      <c r="T10" s="1231"/>
      <c r="U10" s="1231"/>
      <c r="V10" s="1231"/>
      <c r="W10" s="1231"/>
      <c r="X10" s="1231"/>
      <c r="Y10" s="1231"/>
      <c r="Z10" s="1232"/>
      <c r="AA10" s="292">
        <f>+G48-AA7-AA6-AA5-AA8</f>
        <v>0</v>
      </c>
      <c r="AB10" s="293" t="s">
        <v>205</v>
      </c>
    </row>
    <row r="11" spans="1:28" ht="13.35" customHeight="1">
      <c r="A11" s="50" t="s">
        <v>5</v>
      </c>
      <c r="B11" s="141"/>
      <c r="C11" s="80"/>
      <c r="D11" s="93"/>
      <c r="E11" s="969"/>
      <c r="F11" s="385"/>
      <c r="G11" s="81"/>
      <c r="H11" s="82"/>
      <c r="I11" s="83" t="str">
        <f t="shared" si="2"/>
        <v/>
      </c>
      <c r="J11" s="282" t="str">
        <f t="shared" si="3"/>
        <v/>
      </c>
      <c r="K11" s="200">
        <v>8</v>
      </c>
      <c r="L11" s="133">
        <f t="shared" si="4"/>
        <v>0</v>
      </c>
      <c r="M11" s="135" t="s">
        <v>5</v>
      </c>
      <c r="O11" s="1219" t="str">
        <f>IF(N4&gt;0,"Fehler!","")</f>
        <v/>
      </c>
      <c r="P11" s="1219"/>
      <c r="Q11" s="1219"/>
      <c r="R11" s="1219"/>
      <c r="S11" s="1219"/>
      <c r="T11" s="1219"/>
      <c r="U11" s="1219"/>
      <c r="V11" s="1219"/>
      <c r="W11" s="1219"/>
      <c r="X11" s="1219"/>
      <c r="Y11" s="1219"/>
      <c r="Z11" s="1219"/>
    </row>
    <row r="12" spans="1:28" ht="13.35" customHeight="1">
      <c r="A12" s="50" t="s">
        <v>5</v>
      </c>
      <c r="B12" s="141"/>
      <c r="C12" s="80"/>
      <c r="D12" s="93"/>
      <c r="E12" s="969"/>
      <c r="F12" s="385"/>
      <c r="G12" s="81"/>
      <c r="H12" s="82"/>
      <c r="I12" s="83" t="str">
        <f t="shared" si="2"/>
        <v/>
      </c>
      <c r="J12" s="282" t="str">
        <f t="shared" si="3"/>
        <v/>
      </c>
      <c r="K12" s="200">
        <v>9</v>
      </c>
      <c r="L12" s="133">
        <f t="shared" si="4"/>
        <v>0</v>
      </c>
      <c r="M12" s="135" t="s">
        <v>5</v>
      </c>
      <c r="O12" s="203" t="s">
        <v>36</v>
      </c>
      <c r="P12" s="203" t="s">
        <v>37</v>
      </c>
      <c r="Q12" s="203" t="s">
        <v>38</v>
      </c>
      <c r="R12" s="203" t="s">
        <v>39</v>
      </c>
      <c r="S12" s="203" t="s">
        <v>40</v>
      </c>
      <c r="T12" s="203" t="s">
        <v>41</v>
      </c>
      <c r="U12" s="203" t="s">
        <v>42</v>
      </c>
      <c r="V12" s="203" t="s">
        <v>43</v>
      </c>
      <c r="W12" s="203" t="s">
        <v>44</v>
      </c>
      <c r="X12" s="203" t="s">
        <v>45</v>
      </c>
      <c r="Y12" s="203" t="s">
        <v>46</v>
      </c>
      <c r="Z12" s="203" t="s">
        <v>47</v>
      </c>
      <c r="AA12" s="221">
        <f>IF(O14+AA13&lt;&gt;H48,1,0)</f>
        <v>0</v>
      </c>
    </row>
    <row r="13" spans="1:28" ht="13.35" customHeight="1">
      <c r="A13" s="50" t="s">
        <v>5</v>
      </c>
      <c r="B13" s="141"/>
      <c r="C13" s="80"/>
      <c r="D13" s="93"/>
      <c r="E13" s="969"/>
      <c r="F13" s="385"/>
      <c r="G13" s="81"/>
      <c r="H13" s="82"/>
      <c r="I13" s="83" t="str">
        <f t="shared" si="2"/>
        <v/>
      </c>
      <c r="J13" s="282" t="str">
        <f t="shared" si="3"/>
        <v/>
      </c>
      <c r="K13" s="200">
        <v>10</v>
      </c>
      <c r="L13" s="133">
        <f t="shared" si="4"/>
        <v>0</v>
      </c>
      <c r="M13" s="135" t="s">
        <v>5</v>
      </c>
      <c r="O13" s="187">
        <f>SUMIF($L$3:$L$47,1,$I$3:$I$47)</f>
        <v>0</v>
      </c>
      <c r="P13" s="187">
        <f>SUMIF($L$3:$L$47,2,$I$3:$I$47)</f>
        <v>0</v>
      </c>
      <c r="Q13" s="187">
        <f>SUMIF($L$3:$L$47,3,$I$3:$I$47)</f>
        <v>0</v>
      </c>
      <c r="R13" s="187">
        <f>SUMIF($L$3:$L$47,4,$I$3:$I$47)</f>
        <v>0</v>
      </c>
      <c r="S13" s="187">
        <f>SUMIF($L$3:$L$47,5,$I$3:$I$47)</f>
        <v>0</v>
      </c>
      <c r="T13" s="187">
        <f>SUMIF($L$3:$L$47,6,$I$3:$I$47)</f>
        <v>0</v>
      </c>
      <c r="U13" s="187">
        <f>SUMIF($L$3:$L$47,7,$I$3:$I$47)</f>
        <v>0</v>
      </c>
      <c r="V13" s="187">
        <f>SUMIF($L$3:$L$47,8,$I$3:$I$47)</f>
        <v>0</v>
      </c>
      <c r="W13" s="187">
        <f>SUMIF($L$3:$L$47,9,$I$3:$I$47)</f>
        <v>0</v>
      </c>
      <c r="X13" s="187">
        <f>SUMIF($L$3:$L$47,10,$I$3:$I$47)</f>
        <v>0</v>
      </c>
      <c r="Y13" s="187">
        <f>SUMIF($L$3:$L$47,11,$I$3:$I$47)</f>
        <v>0</v>
      </c>
      <c r="Z13" s="187">
        <f>SUMIF($L$3:$L$47,12,$I$3:$I$47)</f>
        <v>0</v>
      </c>
      <c r="AA13" s="1220">
        <f>SUMIF($L$3:$L$47,0,$I$3:$I$47)</f>
        <v>0</v>
      </c>
      <c r="AB13" s="1221"/>
    </row>
    <row r="14" spans="1:28" ht="13.35" customHeight="1">
      <c r="A14" s="50" t="s">
        <v>5</v>
      </c>
      <c r="B14" s="141"/>
      <c r="C14" s="80"/>
      <c r="D14" s="93"/>
      <c r="E14" s="969"/>
      <c r="F14" s="385"/>
      <c r="G14" s="81"/>
      <c r="H14" s="82"/>
      <c r="I14" s="83" t="str">
        <f t="shared" si="2"/>
        <v/>
      </c>
      <c r="J14" s="282" t="str">
        <f t="shared" si="3"/>
        <v/>
      </c>
      <c r="K14" s="200">
        <v>11</v>
      </c>
      <c r="L14" s="133">
        <f t="shared" si="4"/>
        <v>0</v>
      </c>
      <c r="M14" s="135" t="s">
        <v>5</v>
      </c>
      <c r="O14" s="1213">
        <f>SUM(O13:Z13)</f>
        <v>0</v>
      </c>
      <c r="P14" s="1214"/>
      <c r="Q14" s="1214"/>
      <c r="R14" s="1214"/>
      <c r="S14" s="1214"/>
      <c r="T14" s="1214"/>
      <c r="U14" s="1214"/>
      <c r="V14" s="1214"/>
      <c r="W14" s="1214"/>
      <c r="X14" s="1214"/>
      <c r="Y14" s="1214"/>
      <c r="Z14" s="1215"/>
      <c r="AA14" s="1222">
        <f>SUM(O13:Z13)+AA13</f>
        <v>0</v>
      </c>
      <c r="AB14" s="1223"/>
    </row>
    <row r="15" spans="1:28" ht="13.35" customHeight="1">
      <c r="A15" s="50" t="s">
        <v>5</v>
      </c>
      <c r="B15" s="141"/>
      <c r="C15" s="260"/>
      <c r="D15" s="93"/>
      <c r="E15" s="969"/>
      <c r="F15" s="385"/>
      <c r="G15" s="81"/>
      <c r="H15" s="82"/>
      <c r="I15" s="83" t="str">
        <f t="shared" si="2"/>
        <v/>
      </c>
      <c r="J15" s="282" t="str">
        <f t="shared" si="3"/>
        <v/>
      </c>
      <c r="K15" s="200">
        <v>12</v>
      </c>
      <c r="L15" s="133">
        <f t="shared" si="4"/>
        <v>0</v>
      </c>
      <c r="M15" s="135" t="s">
        <v>5</v>
      </c>
    </row>
    <row r="16" spans="1:28" ht="13.35" customHeight="1">
      <c r="A16" s="50" t="s">
        <v>5</v>
      </c>
      <c r="B16" s="141"/>
      <c r="C16" s="80"/>
      <c r="D16" s="93"/>
      <c r="E16" s="969"/>
      <c r="F16" s="385"/>
      <c r="G16" s="81"/>
      <c r="H16" s="82"/>
      <c r="I16" s="83" t="str">
        <f t="shared" si="2"/>
        <v/>
      </c>
      <c r="J16" s="282" t="str">
        <f t="shared" si="3"/>
        <v/>
      </c>
      <c r="K16" s="200">
        <v>13</v>
      </c>
      <c r="L16" s="133">
        <f t="shared" si="4"/>
        <v>0</v>
      </c>
      <c r="M16" s="135" t="s">
        <v>5</v>
      </c>
      <c r="O16" s="204" t="s">
        <v>36</v>
      </c>
      <c r="P16" s="204" t="s">
        <v>37</v>
      </c>
      <c r="Q16" s="204" t="s">
        <v>38</v>
      </c>
      <c r="R16" s="204" t="s">
        <v>39</v>
      </c>
      <c r="S16" s="204" t="s">
        <v>40</v>
      </c>
      <c r="T16" s="204" t="s">
        <v>41</v>
      </c>
      <c r="U16" s="204" t="s">
        <v>42</v>
      </c>
      <c r="V16" s="204" t="s">
        <v>43</v>
      </c>
      <c r="W16" s="204" t="s">
        <v>44</v>
      </c>
      <c r="X16" s="204" t="s">
        <v>45</v>
      </c>
      <c r="Y16" s="204" t="s">
        <v>46</v>
      </c>
      <c r="Z16" s="204" t="s">
        <v>47</v>
      </c>
      <c r="AA16" s="220">
        <f>IF(O18+AA17&lt;&gt;J48,1,0)</f>
        <v>0</v>
      </c>
    </row>
    <row r="17" spans="1:28" ht="13.35" customHeight="1" thickBot="1">
      <c r="A17" s="50" t="s">
        <v>5</v>
      </c>
      <c r="B17" s="141"/>
      <c r="C17" s="80"/>
      <c r="D17" s="93"/>
      <c r="E17" s="969"/>
      <c r="F17" s="385"/>
      <c r="G17" s="81"/>
      <c r="H17" s="82"/>
      <c r="I17" s="83" t="str">
        <f t="shared" si="2"/>
        <v/>
      </c>
      <c r="J17" s="282" t="str">
        <f t="shared" si="3"/>
        <v/>
      </c>
      <c r="K17" s="200">
        <v>14</v>
      </c>
      <c r="L17" s="133">
        <f t="shared" si="4"/>
        <v>0</v>
      </c>
      <c r="M17" s="135" t="s">
        <v>5</v>
      </c>
      <c r="O17" s="202">
        <f>SUMIF($L$3:$L$47,1,$J$3:$J$47)</f>
        <v>0</v>
      </c>
      <c r="P17" s="202">
        <f>SUMIF($L$3:$L$47,2,$J$3:$J$47)</f>
        <v>0</v>
      </c>
      <c r="Q17" s="202">
        <f>SUMIF($L$3:$L$47,3,$J$3:$J$47)</f>
        <v>0</v>
      </c>
      <c r="R17" s="202">
        <f>SUMIF($L$3:$L$47,4,$J$3:$J$47)</f>
        <v>0</v>
      </c>
      <c r="S17" s="202">
        <f>SUMIF($L$3:$L$47,5,$J$3:$J$47)</f>
        <v>0</v>
      </c>
      <c r="T17" s="202">
        <f>SUMIF($L$3:$L$47,6,$J$3:$J$47)</f>
        <v>0</v>
      </c>
      <c r="U17" s="202">
        <f>SUMIF($L$3:$L$47,7,$J$3:$J$47)</f>
        <v>0</v>
      </c>
      <c r="V17" s="202">
        <f>SUMIF($L$3:$L$47,8,$J$3:$J$47)</f>
        <v>0</v>
      </c>
      <c r="W17" s="202">
        <f>SUMIF($L$3:$L$47,9,$J$3:$J$47)</f>
        <v>0</v>
      </c>
      <c r="X17" s="202">
        <f>SUMIF($L$3:$L$47,10,$J$3:$J$47)</f>
        <v>0</v>
      </c>
      <c r="Y17" s="202">
        <f>SUMIF($L$3:$L$47,11,$J$3:$J$47)</f>
        <v>0</v>
      </c>
      <c r="Z17" s="202">
        <f>SUMIF($L$3:$L$47,12,$J$3:$J$47)</f>
        <v>0</v>
      </c>
      <c r="AA17" s="1220">
        <f>SUMIF($L$3:$L$47,0,$J$3:$J$47)</f>
        <v>0</v>
      </c>
      <c r="AB17" s="1221"/>
    </row>
    <row r="18" spans="1:28" ht="13.35" customHeight="1">
      <c r="A18" s="50" t="s">
        <v>5</v>
      </c>
      <c r="B18" s="141"/>
      <c r="C18" s="80"/>
      <c r="D18" s="93"/>
      <c r="E18" s="969"/>
      <c r="F18" s="385"/>
      <c r="G18" s="81"/>
      <c r="H18" s="82"/>
      <c r="I18" s="83" t="str">
        <f t="shared" si="2"/>
        <v/>
      </c>
      <c r="J18" s="282" t="str">
        <f t="shared" si="3"/>
        <v/>
      </c>
      <c r="K18" s="200">
        <v>15</v>
      </c>
      <c r="L18" s="133">
        <f t="shared" si="4"/>
        <v>0</v>
      </c>
      <c r="M18" s="135" t="s">
        <v>5</v>
      </c>
      <c r="O18" s="1216">
        <f>SUM(O17:Z17)</f>
        <v>0</v>
      </c>
      <c r="P18" s="1217"/>
      <c r="Q18" s="1217"/>
      <c r="R18" s="1217"/>
      <c r="S18" s="1217"/>
      <c r="T18" s="1217"/>
      <c r="U18" s="1217"/>
      <c r="V18" s="1217"/>
      <c r="W18" s="1217"/>
      <c r="X18" s="1217"/>
      <c r="Y18" s="1217"/>
      <c r="Z18" s="1218"/>
      <c r="AA18" s="1222">
        <f>SUM(O17:Z17)+AA17</f>
        <v>0</v>
      </c>
      <c r="AB18" s="1223"/>
    </row>
    <row r="19" spans="1:28" ht="13.35" customHeight="1">
      <c r="A19" s="50" t="s">
        <v>5</v>
      </c>
      <c r="B19" s="141"/>
      <c r="C19" s="80"/>
      <c r="D19" s="93"/>
      <c r="E19" s="969"/>
      <c r="F19" s="385"/>
      <c r="G19" s="81"/>
      <c r="H19" s="82"/>
      <c r="I19" s="83" t="str">
        <f t="shared" si="2"/>
        <v/>
      </c>
      <c r="J19" s="282" t="str">
        <f t="shared" si="3"/>
        <v/>
      </c>
      <c r="K19" s="200">
        <v>16</v>
      </c>
      <c r="L19" s="133">
        <f t="shared" si="4"/>
        <v>0</v>
      </c>
      <c r="M19" s="135" t="s">
        <v>5</v>
      </c>
    </row>
    <row r="20" spans="1:28" ht="13.35" customHeight="1">
      <c r="A20" s="50" t="s">
        <v>5</v>
      </c>
      <c r="B20" s="141"/>
      <c r="C20" s="80"/>
      <c r="D20" s="93"/>
      <c r="E20" s="969"/>
      <c r="F20" s="385"/>
      <c r="G20" s="81"/>
      <c r="H20" s="82"/>
      <c r="I20" s="83" t="str">
        <f t="shared" si="2"/>
        <v/>
      </c>
      <c r="J20" s="282" t="str">
        <f t="shared" si="3"/>
        <v/>
      </c>
      <c r="K20" s="200">
        <v>17</v>
      </c>
      <c r="L20" s="133">
        <f t="shared" si="4"/>
        <v>0</v>
      </c>
      <c r="M20" s="135" t="s">
        <v>5</v>
      </c>
    </row>
    <row r="21" spans="1:28" ht="13.35" customHeight="1">
      <c r="A21" s="50" t="s">
        <v>5</v>
      </c>
      <c r="B21" s="141"/>
      <c r="C21" s="80"/>
      <c r="D21" s="93"/>
      <c r="E21" s="969"/>
      <c r="F21" s="385"/>
      <c r="G21" s="81"/>
      <c r="H21" s="82"/>
      <c r="I21" s="83" t="str">
        <f t="shared" si="2"/>
        <v/>
      </c>
      <c r="J21" s="282" t="str">
        <f t="shared" si="3"/>
        <v/>
      </c>
      <c r="K21" s="200">
        <v>18</v>
      </c>
      <c r="L21" s="133">
        <f t="shared" si="4"/>
        <v>0</v>
      </c>
      <c r="M21" s="135" t="s">
        <v>5</v>
      </c>
    </row>
    <row r="22" spans="1:28" ht="13.35" customHeight="1">
      <c r="A22" s="50" t="s">
        <v>5</v>
      </c>
      <c r="B22" s="141"/>
      <c r="C22" s="80"/>
      <c r="D22" s="93"/>
      <c r="E22" s="969"/>
      <c r="F22" s="385"/>
      <c r="G22" s="81"/>
      <c r="H22" s="82"/>
      <c r="I22" s="83" t="str">
        <f t="shared" si="2"/>
        <v/>
      </c>
      <c r="J22" s="282" t="str">
        <f t="shared" si="3"/>
        <v/>
      </c>
      <c r="K22" s="200">
        <v>19</v>
      </c>
      <c r="L22" s="133">
        <f t="shared" si="4"/>
        <v>0</v>
      </c>
      <c r="M22" s="135" t="s">
        <v>5</v>
      </c>
    </row>
    <row r="23" spans="1:28" ht="13.35" customHeight="1">
      <c r="A23" s="50" t="s">
        <v>5</v>
      </c>
      <c r="B23" s="141"/>
      <c r="C23" s="80"/>
      <c r="D23" s="94"/>
      <c r="E23" s="969"/>
      <c r="F23" s="385"/>
      <c r="G23" s="81"/>
      <c r="H23" s="82"/>
      <c r="I23" s="83" t="str">
        <f t="shared" si="2"/>
        <v/>
      </c>
      <c r="J23" s="282" t="str">
        <f t="shared" si="3"/>
        <v/>
      </c>
      <c r="K23" s="200">
        <v>20</v>
      </c>
      <c r="L23" s="133">
        <f t="shared" si="4"/>
        <v>0</v>
      </c>
      <c r="M23" s="135" t="s">
        <v>5</v>
      </c>
    </row>
    <row r="24" spans="1:28" ht="13.35" customHeight="1">
      <c r="A24" s="50" t="s">
        <v>5</v>
      </c>
      <c r="B24" s="141"/>
      <c r="C24" s="80"/>
      <c r="D24" s="93"/>
      <c r="E24" s="969"/>
      <c r="F24" s="385"/>
      <c r="G24" s="81"/>
      <c r="H24" s="82"/>
      <c r="I24" s="83" t="str">
        <f t="shared" si="2"/>
        <v/>
      </c>
      <c r="J24" s="282" t="str">
        <f t="shared" si="3"/>
        <v/>
      </c>
      <c r="K24" s="200">
        <v>21</v>
      </c>
      <c r="L24" s="133">
        <f t="shared" si="4"/>
        <v>0</v>
      </c>
      <c r="M24" s="135" t="s">
        <v>5</v>
      </c>
      <c r="O24" s="147"/>
      <c r="P24" s="147"/>
      <c r="Q24" s="147"/>
      <c r="R24" s="147"/>
      <c r="S24" s="147"/>
      <c r="T24" s="147"/>
      <c r="U24" s="147"/>
      <c r="V24" s="147"/>
      <c r="W24" s="147"/>
      <c r="X24" s="147"/>
      <c r="Y24" s="147"/>
      <c r="Z24" s="147"/>
      <c r="AA24" s="147"/>
    </row>
    <row r="25" spans="1:28" ht="13.35" customHeight="1">
      <c r="A25" s="50" t="s">
        <v>5</v>
      </c>
      <c r="B25" s="141"/>
      <c r="C25" s="80"/>
      <c r="D25" s="93"/>
      <c r="E25" s="969"/>
      <c r="F25" s="385"/>
      <c r="G25" s="81"/>
      <c r="H25" s="82"/>
      <c r="I25" s="83" t="str">
        <f t="shared" si="2"/>
        <v/>
      </c>
      <c r="J25" s="282" t="str">
        <f t="shared" si="3"/>
        <v/>
      </c>
      <c r="K25" s="200">
        <v>22</v>
      </c>
      <c r="L25" s="133">
        <f t="shared" si="4"/>
        <v>0</v>
      </c>
      <c r="M25" s="135" t="s">
        <v>5</v>
      </c>
      <c r="O25" s="147"/>
      <c r="P25" s="147"/>
      <c r="Q25" s="147"/>
      <c r="R25" s="147"/>
      <c r="S25" s="147"/>
      <c r="T25" s="147"/>
      <c r="U25" s="147"/>
      <c r="V25" s="147"/>
      <c r="W25" s="147"/>
      <c r="X25" s="147"/>
      <c r="Y25" s="147"/>
      <c r="Z25" s="147"/>
      <c r="AA25" s="147"/>
    </row>
    <row r="26" spans="1:28" ht="13.35" customHeight="1">
      <c r="A26" s="50" t="s">
        <v>5</v>
      </c>
      <c r="B26" s="141"/>
      <c r="C26" s="80"/>
      <c r="D26" s="93"/>
      <c r="E26" s="969"/>
      <c r="F26" s="385"/>
      <c r="G26" s="81"/>
      <c r="H26" s="82"/>
      <c r="I26" s="83" t="str">
        <f t="shared" si="2"/>
        <v/>
      </c>
      <c r="J26" s="282" t="str">
        <f t="shared" si="3"/>
        <v/>
      </c>
      <c r="K26" s="200">
        <v>23</v>
      </c>
      <c r="L26" s="133">
        <f t="shared" si="4"/>
        <v>0</v>
      </c>
      <c r="M26" s="135" t="s">
        <v>5</v>
      </c>
      <c r="O26" s="147"/>
      <c r="P26" s="147"/>
      <c r="Q26" s="147"/>
      <c r="R26" s="147"/>
      <c r="S26" s="147"/>
      <c r="T26" s="147"/>
      <c r="U26" s="147"/>
      <c r="V26" s="147"/>
      <c r="W26" s="147"/>
      <c r="X26" s="147"/>
      <c r="Y26" s="147"/>
      <c r="Z26" s="147"/>
      <c r="AA26" s="147"/>
    </row>
    <row r="27" spans="1:28" ht="13.35" customHeight="1">
      <c r="A27" s="50" t="s">
        <v>5</v>
      </c>
      <c r="B27" s="141"/>
      <c r="C27" s="80"/>
      <c r="D27" s="93"/>
      <c r="E27" s="969"/>
      <c r="F27" s="385"/>
      <c r="G27" s="81"/>
      <c r="H27" s="82"/>
      <c r="I27" s="83" t="str">
        <f t="shared" si="2"/>
        <v/>
      </c>
      <c r="J27" s="282" t="str">
        <f t="shared" si="3"/>
        <v/>
      </c>
      <c r="K27" s="200">
        <v>24</v>
      </c>
      <c r="L27" s="133">
        <f t="shared" si="4"/>
        <v>0</v>
      </c>
      <c r="M27" s="135" t="s">
        <v>5</v>
      </c>
    </row>
    <row r="28" spans="1:28" ht="13.35" customHeight="1">
      <c r="A28" s="50" t="s">
        <v>5</v>
      </c>
      <c r="B28" s="141"/>
      <c r="C28" s="80"/>
      <c r="D28" s="93"/>
      <c r="E28" s="969"/>
      <c r="F28" s="385"/>
      <c r="G28" s="81"/>
      <c r="H28" s="82"/>
      <c r="I28" s="83" t="str">
        <f t="shared" si="2"/>
        <v/>
      </c>
      <c r="J28" s="282" t="str">
        <f t="shared" si="3"/>
        <v/>
      </c>
      <c r="K28" s="200">
        <v>25</v>
      </c>
      <c r="L28" s="133">
        <f t="shared" si="4"/>
        <v>0</v>
      </c>
      <c r="M28" s="135" t="s">
        <v>5</v>
      </c>
    </row>
    <row r="29" spans="1:28" ht="13.35" customHeight="1">
      <c r="A29" s="50" t="s">
        <v>5</v>
      </c>
      <c r="B29" s="141"/>
      <c r="C29" s="80"/>
      <c r="D29" s="93"/>
      <c r="E29" s="969"/>
      <c r="F29" s="385"/>
      <c r="G29" s="81"/>
      <c r="H29" s="82"/>
      <c r="I29" s="83" t="str">
        <f t="shared" si="2"/>
        <v/>
      </c>
      <c r="J29" s="282" t="str">
        <f t="shared" si="3"/>
        <v/>
      </c>
      <c r="K29" s="200">
        <v>26</v>
      </c>
      <c r="L29" s="133">
        <f t="shared" si="4"/>
        <v>0</v>
      </c>
      <c r="M29" s="135" t="s">
        <v>5</v>
      </c>
    </row>
    <row r="30" spans="1:28" ht="13.35" customHeight="1">
      <c r="A30" s="50" t="s">
        <v>5</v>
      </c>
      <c r="B30" s="141"/>
      <c r="C30" s="80"/>
      <c r="D30" s="93"/>
      <c r="E30" s="969"/>
      <c r="F30" s="385"/>
      <c r="G30" s="81"/>
      <c r="H30" s="82"/>
      <c r="I30" s="83" t="str">
        <f t="shared" si="2"/>
        <v/>
      </c>
      <c r="J30" s="282" t="str">
        <f t="shared" si="3"/>
        <v/>
      </c>
      <c r="K30" s="200">
        <v>27</v>
      </c>
      <c r="L30" s="133">
        <f t="shared" si="4"/>
        <v>0</v>
      </c>
      <c r="M30" s="135" t="s">
        <v>5</v>
      </c>
      <c r="O30" s="147"/>
      <c r="P30" s="147"/>
      <c r="Q30" s="147"/>
      <c r="R30" s="147"/>
      <c r="S30" s="147"/>
      <c r="T30" s="147"/>
      <c r="U30" s="147"/>
      <c r="V30" s="147"/>
      <c r="W30" s="147"/>
      <c r="X30" s="147"/>
      <c r="Y30" s="147"/>
      <c r="Z30" s="147"/>
      <c r="AA30" s="147"/>
    </row>
    <row r="31" spans="1:28" ht="13.35" customHeight="1">
      <c r="A31" s="50" t="s">
        <v>5</v>
      </c>
      <c r="B31" s="141"/>
      <c r="C31" s="80"/>
      <c r="D31" s="93"/>
      <c r="E31" s="969"/>
      <c r="F31" s="385"/>
      <c r="G31" s="81"/>
      <c r="H31" s="82"/>
      <c r="I31" s="83" t="str">
        <f t="shared" si="2"/>
        <v/>
      </c>
      <c r="J31" s="282" t="str">
        <f t="shared" si="3"/>
        <v/>
      </c>
      <c r="K31" s="200">
        <v>28</v>
      </c>
      <c r="L31" s="133">
        <f t="shared" si="4"/>
        <v>0</v>
      </c>
      <c r="M31" s="135" t="s">
        <v>5</v>
      </c>
      <c r="O31" s="147"/>
      <c r="P31" s="147"/>
      <c r="Q31" s="147"/>
      <c r="R31" s="147"/>
      <c r="S31" s="147"/>
      <c r="T31" s="147"/>
      <c r="U31" s="147"/>
      <c r="V31" s="147"/>
      <c r="W31" s="147"/>
      <c r="X31" s="147"/>
      <c r="Y31" s="147"/>
      <c r="Z31" s="147"/>
      <c r="AA31" s="147"/>
    </row>
    <row r="32" spans="1:28" ht="13.35" customHeight="1">
      <c r="A32" s="50" t="s">
        <v>5</v>
      </c>
      <c r="B32" s="141"/>
      <c r="C32" s="80"/>
      <c r="D32" s="93"/>
      <c r="E32" s="969"/>
      <c r="F32" s="385"/>
      <c r="G32" s="81"/>
      <c r="H32" s="82"/>
      <c r="I32" s="83" t="str">
        <f t="shared" si="2"/>
        <v/>
      </c>
      <c r="J32" s="282" t="str">
        <f t="shared" si="3"/>
        <v/>
      </c>
      <c r="K32" s="200">
        <v>29</v>
      </c>
      <c r="L32" s="133">
        <f t="shared" si="4"/>
        <v>0</v>
      </c>
      <c r="M32" s="135" t="s">
        <v>5</v>
      </c>
      <c r="O32" s="147"/>
      <c r="P32" s="147"/>
      <c r="Q32" s="147"/>
      <c r="R32" s="147"/>
      <c r="S32" s="147"/>
      <c r="T32" s="147"/>
      <c r="U32" s="147"/>
      <c r="V32" s="147"/>
      <c r="W32" s="147"/>
      <c r="X32" s="147"/>
      <c r="Y32" s="147"/>
      <c r="Z32" s="147"/>
      <c r="AA32" s="147"/>
    </row>
    <row r="33" spans="1:27" ht="13.35" customHeight="1">
      <c r="A33" s="50" t="s">
        <v>5</v>
      </c>
      <c r="B33" s="141"/>
      <c r="C33" s="80"/>
      <c r="D33" s="93"/>
      <c r="E33" s="969"/>
      <c r="F33" s="385"/>
      <c r="G33" s="81"/>
      <c r="H33" s="82"/>
      <c r="I33" s="83" t="str">
        <f t="shared" si="2"/>
        <v/>
      </c>
      <c r="J33" s="282" t="str">
        <f t="shared" si="3"/>
        <v/>
      </c>
      <c r="K33" s="200">
        <v>30</v>
      </c>
      <c r="L33" s="133">
        <f t="shared" si="4"/>
        <v>0</v>
      </c>
      <c r="M33" s="135" t="s">
        <v>5</v>
      </c>
      <c r="O33" s="147"/>
      <c r="P33" s="147"/>
      <c r="Q33" s="147"/>
      <c r="R33" s="147"/>
      <c r="S33" s="147"/>
      <c r="T33" s="147"/>
      <c r="U33" s="147"/>
      <c r="V33" s="147"/>
      <c r="W33" s="147"/>
      <c r="X33" s="147"/>
      <c r="Y33" s="147"/>
      <c r="Z33" s="147"/>
      <c r="AA33" s="147"/>
    </row>
    <row r="34" spans="1:27" ht="13.35" customHeight="1">
      <c r="A34" s="50" t="s">
        <v>5</v>
      </c>
      <c r="B34" s="141"/>
      <c r="C34" s="80"/>
      <c r="D34" s="93"/>
      <c r="E34" s="969"/>
      <c r="F34" s="385"/>
      <c r="G34" s="81"/>
      <c r="H34" s="82"/>
      <c r="I34" s="83" t="str">
        <f t="shared" si="2"/>
        <v/>
      </c>
      <c r="J34" s="282" t="str">
        <f t="shared" si="3"/>
        <v/>
      </c>
      <c r="K34" s="200">
        <v>31</v>
      </c>
      <c r="L34" s="133">
        <f t="shared" si="4"/>
        <v>0</v>
      </c>
      <c r="M34" s="135" t="s">
        <v>5</v>
      </c>
      <c r="O34" s="147"/>
      <c r="P34" s="147"/>
      <c r="Q34" s="147"/>
      <c r="R34" s="147"/>
      <c r="S34" s="147"/>
      <c r="T34" s="147"/>
      <c r="U34" s="147"/>
      <c r="V34" s="147"/>
      <c r="W34" s="147"/>
      <c r="X34" s="147"/>
      <c r="Y34" s="147"/>
      <c r="Z34" s="147"/>
      <c r="AA34" s="147"/>
    </row>
    <row r="35" spans="1:27" ht="13.35" customHeight="1">
      <c r="A35" s="50" t="s">
        <v>5</v>
      </c>
      <c r="B35" s="141"/>
      <c r="C35" s="80"/>
      <c r="D35" s="93"/>
      <c r="E35" s="969"/>
      <c r="F35" s="385"/>
      <c r="G35" s="81"/>
      <c r="H35" s="82"/>
      <c r="I35" s="83" t="str">
        <f t="shared" si="2"/>
        <v/>
      </c>
      <c r="J35" s="282" t="str">
        <f t="shared" si="3"/>
        <v/>
      </c>
      <c r="K35" s="200">
        <v>32</v>
      </c>
      <c r="L35" s="133">
        <f t="shared" si="4"/>
        <v>0</v>
      </c>
      <c r="M35" s="135" t="s">
        <v>5</v>
      </c>
      <c r="O35" s="147"/>
      <c r="P35" s="147"/>
      <c r="Q35" s="147"/>
      <c r="R35" s="147"/>
      <c r="S35" s="147"/>
      <c r="T35" s="147"/>
      <c r="U35" s="147"/>
      <c r="V35" s="147"/>
      <c r="W35" s="147"/>
      <c r="X35" s="147"/>
      <c r="Y35" s="147"/>
      <c r="Z35" s="147"/>
      <c r="AA35" s="147"/>
    </row>
    <row r="36" spans="1:27" ht="13.35" customHeight="1">
      <c r="A36" s="50" t="s">
        <v>5</v>
      </c>
      <c r="B36" s="141"/>
      <c r="C36" s="80"/>
      <c r="D36" s="93"/>
      <c r="E36" s="969"/>
      <c r="F36" s="385"/>
      <c r="G36" s="81"/>
      <c r="H36" s="82"/>
      <c r="I36" s="83" t="str">
        <f t="shared" si="2"/>
        <v/>
      </c>
      <c r="J36" s="282" t="str">
        <f t="shared" si="3"/>
        <v/>
      </c>
      <c r="K36" s="200">
        <v>33</v>
      </c>
      <c r="L36" s="133">
        <f t="shared" si="4"/>
        <v>0</v>
      </c>
      <c r="M36" s="135" t="s">
        <v>5</v>
      </c>
      <c r="O36" s="147"/>
      <c r="P36" s="147"/>
      <c r="Q36" s="147"/>
      <c r="R36" s="147"/>
      <c r="S36" s="147"/>
      <c r="T36" s="147"/>
      <c r="U36" s="147"/>
      <c r="V36" s="147"/>
      <c r="W36" s="147"/>
      <c r="X36" s="147"/>
      <c r="Y36" s="147"/>
      <c r="Z36" s="147"/>
      <c r="AA36" s="147"/>
    </row>
    <row r="37" spans="1:27" ht="13.35" customHeight="1">
      <c r="A37" s="50" t="s">
        <v>5</v>
      </c>
      <c r="B37" s="141"/>
      <c r="C37" s="80"/>
      <c r="D37" s="93"/>
      <c r="E37" s="969"/>
      <c r="F37" s="385"/>
      <c r="G37" s="81"/>
      <c r="H37" s="82"/>
      <c r="I37" s="83" t="str">
        <f t="shared" si="2"/>
        <v/>
      </c>
      <c r="J37" s="282" t="str">
        <f t="shared" si="3"/>
        <v/>
      </c>
      <c r="K37" s="200">
        <v>34</v>
      </c>
      <c r="L37" s="133">
        <f t="shared" si="4"/>
        <v>0</v>
      </c>
      <c r="M37" s="135" t="s">
        <v>5</v>
      </c>
      <c r="O37" s="147"/>
      <c r="P37" s="147"/>
      <c r="Q37" s="147"/>
      <c r="R37" s="147"/>
      <c r="S37" s="147"/>
      <c r="T37" s="147"/>
      <c r="U37" s="147"/>
      <c r="V37" s="147"/>
      <c r="W37" s="147"/>
      <c r="X37" s="147"/>
      <c r="Y37" s="147"/>
      <c r="Z37" s="147"/>
      <c r="AA37" s="147"/>
    </row>
    <row r="38" spans="1:27" ht="13.35" customHeight="1">
      <c r="A38" s="50" t="s">
        <v>5</v>
      </c>
      <c r="B38" s="141"/>
      <c r="C38" s="80"/>
      <c r="D38" s="93"/>
      <c r="E38" s="969"/>
      <c r="F38" s="385"/>
      <c r="G38" s="81"/>
      <c r="H38" s="82"/>
      <c r="I38" s="83" t="str">
        <f t="shared" si="2"/>
        <v/>
      </c>
      <c r="J38" s="282" t="str">
        <f t="shared" si="3"/>
        <v/>
      </c>
      <c r="K38" s="200">
        <v>35</v>
      </c>
      <c r="L38" s="133">
        <f t="shared" si="4"/>
        <v>0</v>
      </c>
      <c r="M38" s="135" t="s">
        <v>5</v>
      </c>
      <c r="O38" s="147"/>
      <c r="P38" s="147"/>
      <c r="Q38" s="147"/>
      <c r="R38" s="147"/>
      <c r="S38" s="147"/>
      <c r="T38" s="147"/>
      <c r="U38" s="147"/>
      <c r="V38" s="147"/>
      <c r="W38" s="147"/>
      <c r="X38" s="147"/>
      <c r="Y38" s="147"/>
      <c r="Z38" s="147"/>
      <c r="AA38" s="147"/>
    </row>
    <row r="39" spans="1:27" ht="13.35" customHeight="1">
      <c r="A39" s="50" t="s">
        <v>5</v>
      </c>
      <c r="B39" s="141"/>
      <c r="C39" s="80"/>
      <c r="D39" s="93"/>
      <c r="E39" s="969"/>
      <c r="F39" s="385"/>
      <c r="G39" s="81"/>
      <c r="H39" s="82"/>
      <c r="I39" s="83" t="str">
        <f t="shared" si="2"/>
        <v/>
      </c>
      <c r="J39" s="282" t="str">
        <f t="shared" si="3"/>
        <v/>
      </c>
      <c r="K39" s="200">
        <v>36</v>
      </c>
      <c r="L39" s="133">
        <f t="shared" si="4"/>
        <v>0</v>
      </c>
      <c r="M39" s="135" t="s">
        <v>5</v>
      </c>
      <c r="O39" s="147"/>
      <c r="P39" s="147"/>
      <c r="Q39" s="147"/>
      <c r="R39" s="147"/>
      <c r="S39" s="147"/>
      <c r="T39" s="147"/>
      <c r="U39" s="147"/>
      <c r="V39" s="147"/>
      <c r="W39" s="147"/>
      <c r="X39" s="147"/>
      <c r="Y39" s="147"/>
      <c r="Z39" s="147"/>
      <c r="AA39" s="147"/>
    </row>
    <row r="40" spans="1:27" ht="13.35" customHeight="1">
      <c r="A40" s="50" t="s">
        <v>5</v>
      </c>
      <c r="B40" s="141"/>
      <c r="C40" s="80"/>
      <c r="D40" s="93"/>
      <c r="E40" s="969"/>
      <c r="F40" s="385"/>
      <c r="G40" s="81"/>
      <c r="H40" s="82"/>
      <c r="I40" s="83" t="str">
        <f t="shared" si="2"/>
        <v/>
      </c>
      <c r="J40" s="282" t="str">
        <f t="shared" si="3"/>
        <v/>
      </c>
      <c r="K40" s="200">
        <v>37</v>
      </c>
      <c r="L40" s="133">
        <f t="shared" si="4"/>
        <v>0</v>
      </c>
      <c r="M40" s="135" t="s">
        <v>5</v>
      </c>
      <c r="AA40" s="147"/>
    </row>
    <row r="41" spans="1:27" ht="13.35" customHeight="1">
      <c r="A41" s="50" t="s">
        <v>5</v>
      </c>
      <c r="B41" s="141"/>
      <c r="C41" s="80"/>
      <c r="D41" s="93"/>
      <c r="E41" s="969"/>
      <c r="F41" s="385"/>
      <c r="G41" s="81"/>
      <c r="H41" s="82"/>
      <c r="I41" s="83" t="str">
        <f t="shared" si="2"/>
        <v/>
      </c>
      <c r="J41" s="282" t="str">
        <f t="shared" si="3"/>
        <v/>
      </c>
      <c r="K41" s="200">
        <v>38</v>
      </c>
      <c r="L41" s="133">
        <f t="shared" si="4"/>
        <v>0</v>
      </c>
      <c r="M41" s="135" t="s">
        <v>5</v>
      </c>
      <c r="O41" s="147"/>
      <c r="P41" s="147"/>
      <c r="Q41" s="147"/>
      <c r="R41" s="147"/>
      <c r="S41" s="147"/>
      <c r="T41" s="147"/>
      <c r="U41" s="147"/>
      <c r="V41" s="147"/>
      <c r="W41" s="147"/>
      <c r="X41" s="147"/>
      <c r="Y41" s="147"/>
      <c r="Z41" s="147"/>
      <c r="AA41" s="147"/>
    </row>
    <row r="42" spans="1:27" ht="13.35" customHeight="1">
      <c r="A42" s="50" t="s">
        <v>5</v>
      </c>
      <c r="B42" s="141"/>
      <c r="C42" s="80"/>
      <c r="D42" s="93"/>
      <c r="E42" s="969"/>
      <c r="F42" s="385"/>
      <c r="G42" s="81"/>
      <c r="H42" s="82"/>
      <c r="I42" s="83" t="str">
        <f t="shared" si="2"/>
        <v/>
      </c>
      <c r="J42" s="282" t="str">
        <f t="shared" si="3"/>
        <v/>
      </c>
      <c r="K42" s="200">
        <v>39</v>
      </c>
      <c r="L42" s="133">
        <f t="shared" si="4"/>
        <v>0</v>
      </c>
      <c r="M42" s="135" t="s">
        <v>5</v>
      </c>
      <c r="O42" s="147"/>
      <c r="P42" s="147"/>
      <c r="Q42" s="147"/>
      <c r="R42" s="147"/>
      <c r="S42" s="147"/>
      <c r="T42" s="147"/>
      <c r="U42" s="147"/>
      <c r="V42" s="147"/>
      <c r="W42" s="147"/>
      <c r="X42" s="147"/>
      <c r="Y42" s="147"/>
      <c r="Z42" s="147"/>
      <c r="AA42" s="147"/>
    </row>
    <row r="43" spans="1:27" ht="13.35" customHeight="1">
      <c r="A43" s="50" t="s">
        <v>5</v>
      </c>
      <c r="B43" s="141"/>
      <c r="C43" s="80"/>
      <c r="D43" s="93"/>
      <c r="E43" s="969"/>
      <c r="F43" s="385"/>
      <c r="G43" s="81"/>
      <c r="H43" s="82"/>
      <c r="I43" s="83" t="str">
        <f t="shared" si="2"/>
        <v/>
      </c>
      <c r="J43" s="282" t="str">
        <f t="shared" si="3"/>
        <v/>
      </c>
      <c r="K43" s="200">
        <v>40</v>
      </c>
      <c r="L43" s="133">
        <f t="shared" si="4"/>
        <v>0</v>
      </c>
      <c r="M43" s="135" t="s">
        <v>5</v>
      </c>
      <c r="O43" s="147"/>
      <c r="P43" s="147"/>
      <c r="Q43" s="147"/>
      <c r="R43" s="147"/>
      <c r="S43" s="147"/>
      <c r="T43" s="147"/>
      <c r="U43" s="147"/>
      <c r="V43" s="147"/>
      <c r="W43" s="147"/>
      <c r="X43" s="147"/>
      <c r="Y43" s="147"/>
      <c r="Z43" s="147"/>
      <c r="AA43" s="147"/>
    </row>
    <row r="44" spans="1:27" ht="13.35" customHeight="1">
      <c r="A44" s="50" t="s">
        <v>5</v>
      </c>
      <c r="B44" s="141"/>
      <c r="C44" s="80"/>
      <c r="D44" s="93"/>
      <c r="E44" s="969"/>
      <c r="F44" s="385"/>
      <c r="G44" s="81"/>
      <c r="H44" s="82"/>
      <c r="I44" s="83" t="str">
        <f t="shared" si="2"/>
        <v/>
      </c>
      <c r="J44" s="282" t="str">
        <f t="shared" si="3"/>
        <v/>
      </c>
      <c r="K44" s="200">
        <v>41</v>
      </c>
      <c r="L44" s="133">
        <f t="shared" si="4"/>
        <v>0</v>
      </c>
      <c r="M44" s="135" t="s">
        <v>5</v>
      </c>
      <c r="O44" s="147"/>
      <c r="P44" s="147"/>
      <c r="Q44" s="147"/>
      <c r="R44" s="147"/>
      <c r="S44" s="147"/>
      <c r="T44" s="147"/>
      <c r="U44" s="147"/>
      <c r="V44" s="147"/>
      <c r="W44" s="147"/>
      <c r="X44" s="147"/>
      <c r="Y44" s="147"/>
      <c r="Z44" s="147"/>
      <c r="AA44" s="147"/>
    </row>
    <row r="45" spans="1:27" ht="13.35" customHeight="1">
      <c r="A45" s="50" t="s">
        <v>5</v>
      </c>
      <c r="B45" s="141"/>
      <c r="C45" s="80"/>
      <c r="D45" s="93"/>
      <c r="E45" s="969"/>
      <c r="F45" s="385"/>
      <c r="G45" s="81"/>
      <c r="H45" s="82"/>
      <c r="I45" s="83" t="str">
        <f t="shared" ref="I45:I46" si="7">IF(G45&lt;&gt;"",+G45-G45/(1+H45/100),"")</f>
        <v/>
      </c>
      <c r="J45" s="282" t="str">
        <f t="shared" ref="J45:J46" si="8">IF(G45&lt;&gt;0,+G45-I45,"")</f>
        <v/>
      </c>
      <c r="K45" s="200">
        <v>44</v>
      </c>
      <c r="L45" s="133">
        <f t="shared" ref="L45:L46" si="9">IF(B45&lt;$O$2,0,IF(B45&lt;$P$2,1,IF(B45&lt;$Q$2,2,IF(B45&lt;$R$2,3,IF(B45&lt;$S$2,4,IF(B45&lt;$T$2,5,IF(B45&lt;$U$2,6,IF(B45&lt;$V$2,7,IF(B45&lt;$W$2,8,IF(B45&lt;$X$2,9,IF(B45&lt;$Y$2,10,IF(B45&lt;$Z$2,11,IF(B45&lt;=$Z$3,12,0)))))))))))))</f>
        <v>0</v>
      </c>
      <c r="M45" s="135" t="s">
        <v>5</v>
      </c>
    </row>
    <row r="46" spans="1:27" ht="13.35" customHeight="1" thickBot="1">
      <c r="A46" s="50" t="s">
        <v>5</v>
      </c>
      <c r="B46" s="141"/>
      <c r="C46" s="80"/>
      <c r="D46" s="93"/>
      <c r="E46" s="969"/>
      <c r="F46" s="385"/>
      <c r="G46" s="81"/>
      <c r="H46" s="82"/>
      <c r="I46" s="83" t="str">
        <f t="shared" si="7"/>
        <v/>
      </c>
      <c r="J46" s="282" t="str">
        <f t="shared" si="8"/>
        <v/>
      </c>
      <c r="K46" s="200">
        <v>45</v>
      </c>
      <c r="L46" s="133">
        <f t="shared" si="9"/>
        <v>0</v>
      </c>
      <c r="M46" s="135" t="s">
        <v>5</v>
      </c>
    </row>
    <row r="47" spans="1:27" ht="12" customHeight="1" thickTop="1" thickBot="1">
      <c r="A47" s="391" t="s">
        <v>283</v>
      </c>
      <c r="B47" s="1244" t="str">
        <f>IF($A$48=0,"^ Zeile einfügen","bis hierher ziehen!")</f>
        <v>^ Zeile einfügen</v>
      </c>
      <c r="C47" s="1244"/>
      <c r="D47" s="392" t="s">
        <v>5</v>
      </c>
      <c r="E47" s="393" t="s">
        <v>5</v>
      </c>
      <c r="F47" s="394" t="s">
        <v>5</v>
      </c>
      <c r="G47" s="394"/>
      <c r="H47" s="395"/>
      <c r="I47" s="396"/>
      <c r="J47" s="425"/>
      <c r="K47" s="201">
        <v>0</v>
      </c>
      <c r="L47" s="185" t="s">
        <v>5</v>
      </c>
      <c r="M47" s="398" t="s">
        <v>283</v>
      </c>
    </row>
    <row r="48" spans="1:27" ht="12" customHeight="1" thickTop="1" thickBot="1">
      <c r="A48" s="390">
        <f>COUNTBLANK(A3:A47)+A49</f>
        <v>0</v>
      </c>
      <c r="B48" s="193" t="str">
        <f>+EÜR!C10</f>
        <v>ü</v>
      </c>
      <c r="C48" s="194" t="s">
        <v>5</v>
      </c>
      <c r="D48" s="194" t="s">
        <v>5</v>
      </c>
      <c r="E48" s="195" t="s">
        <v>5</v>
      </c>
      <c r="F48" s="196" t="s">
        <v>5</v>
      </c>
      <c r="G48" s="197">
        <f>SUBTOTAL(9,G3:G47)</f>
        <v>0</v>
      </c>
      <c r="H48" s="1242">
        <f>SUBTOTAL(9,I3:I47)</f>
        <v>0</v>
      </c>
      <c r="I48" s="1243">
        <f>SUBTOTAL(9,I3:I47)</f>
        <v>0</v>
      </c>
      <c r="J48" s="1233">
        <f>G48-H48</f>
        <v>0</v>
      </c>
      <c r="K48" s="1234"/>
      <c r="L48" s="1235"/>
      <c r="M48" s="135" t="s">
        <v>5</v>
      </c>
    </row>
    <row r="49" spans="1:14" ht="12" customHeight="1" thickTop="1" thickBot="1">
      <c r="A49" s="390">
        <f>IF(ISERROR(J47),1,0)</f>
        <v>0</v>
      </c>
      <c r="B49" s="192">
        <f>J48-G49-E49-C49</f>
        <v>0</v>
      </c>
      <c r="C49" s="1239">
        <f>SUMIF(F4:F47,"Kreditkarte",G4:G47)</f>
        <v>0</v>
      </c>
      <c r="D49" s="1239"/>
      <c r="E49" s="1240">
        <f>SUMIF(F4:F47,"Konto",G4:G47)</f>
        <v>0</v>
      </c>
      <c r="F49" s="1240"/>
      <c r="G49" s="1241">
        <f>SUMIF(F4:F47,"Geldbeutel",G4:G47)</f>
        <v>0</v>
      </c>
      <c r="H49" s="1241"/>
      <c r="I49" s="1241"/>
      <c r="J49" s="1236"/>
      <c r="K49" s="1237"/>
      <c r="L49" s="1238"/>
      <c r="M49" s="135" t="s">
        <v>5</v>
      </c>
    </row>
    <row r="50" spans="1:14" s="15" customFormat="1" ht="5.25" customHeight="1" thickTop="1">
      <c r="A50" s="36"/>
      <c r="B50" s="2"/>
      <c r="C50" s="3"/>
      <c r="D50" s="3"/>
      <c r="E50" s="1"/>
      <c r="G50" s="16"/>
      <c r="H50" s="16"/>
      <c r="I50" s="17"/>
      <c r="J50" s="18"/>
      <c r="K50" s="18"/>
      <c r="L50" s="31"/>
      <c r="N50" s="148"/>
    </row>
    <row r="51" spans="1:14">
      <c r="A51" s="36"/>
    </row>
  </sheetData>
  <sheetProtection formatCells="0" insertRows="0" deleteRows="0" selectLockedCells="1" sort="0" autoFilter="0"/>
  <mergeCells count="18">
    <mergeCell ref="C2:I2"/>
    <mergeCell ref="J2:L2"/>
    <mergeCell ref="C49:D49"/>
    <mergeCell ref="E49:F49"/>
    <mergeCell ref="G49:I49"/>
    <mergeCell ref="H48:I48"/>
    <mergeCell ref="B47:C47"/>
    <mergeCell ref="O18:Z18"/>
    <mergeCell ref="AA18:AB18"/>
    <mergeCell ref="J48:L49"/>
    <mergeCell ref="O14:Z14"/>
    <mergeCell ref="AA4:AB4"/>
    <mergeCell ref="AA14:AB14"/>
    <mergeCell ref="AA9:AB9"/>
    <mergeCell ref="O10:Z10"/>
    <mergeCell ref="O11:Z11"/>
    <mergeCell ref="AA13:AB13"/>
    <mergeCell ref="AA17:AB17"/>
  </mergeCells>
  <conditionalFormatting sqref="A4:A46">
    <cfRule type="expression" dxfId="1671" priority="20">
      <formula>ISERROR(J4)</formula>
    </cfRule>
    <cfRule type="cellIs" dxfId="1670" priority="21" operator="equal">
      <formula>""</formula>
    </cfRule>
  </conditionalFormatting>
  <conditionalFormatting sqref="A47:C47">
    <cfRule type="expression" dxfId="1669" priority="5">
      <formula>$A$48&lt;&gt;0</formula>
    </cfRule>
  </conditionalFormatting>
  <conditionalFormatting sqref="B2">
    <cfRule type="expression" dxfId="1668" priority="47" stopIfTrue="1">
      <formula>$B$48="x"</formula>
    </cfRule>
  </conditionalFormatting>
  <conditionalFormatting sqref="B4:B46">
    <cfRule type="cellIs" dxfId="1666" priority="34" operator="equal">
      <formula>""</formula>
    </cfRule>
  </conditionalFormatting>
  <conditionalFormatting sqref="B48">
    <cfRule type="cellIs" dxfId="1664" priority="72" operator="equal">
      <formula>"y"</formula>
    </cfRule>
  </conditionalFormatting>
  <conditionalFormatting sqref="B4:I46">
    <cfRule type="expression" dxfId="1663" priority="30">
      <formula>$B$1="x"</formula>
    </cfRule>
  </conditionalFormatting>
  <conditionalFormatting sqref="B3:J3 J4:J46">
    <cfRule type="expression" dxfId="1662" priority="11042">
      <formula>$B$48="x"</formula>
    </cfRule>
  </conditionalFormatting>
  <conditionalFormatting sqref="B3:L3">
    <cfRule type="expression" dxfId="1661" priority="66">
      <formula>$B$48="x"</formula>
    </cfRule>
  </conditionalFormatting>
  <conditionalFormatting sqref="C4:D46">
    <cfRule type="expression" dxfId="1660" priority="37">
      <formula>AND($B4&lt;&gt;"",$C4="")</formula>
    </cfRule>
  </conditionalFormatting>
  <conditionalFormatting sqref="C49:I49">
    <cfRule type="cellIs" dxfId="1659" priority="71" stopIfTrue="1" operator="lessThan">
      <formula>0</formula>
    </cfRule>
    <cfRule type="cellIs" dxfId="1658" priority="69" stopIfTrue="1" operator="greaterThanOrEqual">
      <formula>0</formula>
    </cfRule>
  </conditionalFormatting>
  <conditionalFormatting sqref="D47:J47">
    <cfRule type="expression" dxfId="1657" priority="7">
      <formula>$A$48&lt;&gt;0</formula>
    </cfRule>
  </conditionalFormatting>
  <conditionalFormatting sqref="H4:H46">
    <cfRule type="expression" dxfId="1656" priority="33">
      <formula>AND(G4&lt;&gt;"",H4="",$I$1&lt;&gt;"x")</formula>
    </cfRule>
  </conditionalFormatting>
  <conditionalFormatting sqref="H4:I46">
    <cfRule type="expression" dxfId="1655" priority="31">
      <formula>AND($I4&lt;&gt;0,$I$1&lt;&gt;"ü")</formula>
    </cfRule>
    <cfRule type="expression" dxfId="1654" priority="32">
      <formula>$I$1&lt;&gt;"ü"</formula>
    </cfRule>
  </conditionalFormatting>
  <conditionalFormatting sqref="J4:L46">
    <cfRule type="expression" dxfId="1652" priority="17846">
      <formula>$B$48="x"</formula>
    </cfRule>
  </conditionalFormatting>
  <conditionalFormatting sqref="J48:L48 C49:L49 C48:H48">
    <cfRule type="expression" dxfId="1651" priority="68">
      <formula>$B$48="x"</formula>
    </cfRule>
  </conditionalFormatting>
  <conditionalFormatting sqref="J48:L49">
    <cfRule type="expression" dxfId="1650" priority="67">
      <formula>AND($B$48="x",$J$48&lt;&gt;0)</formula>
    </cfRule>
  </conditionalFormatting>
  <conditionalFormatting sqref="M3">
    <cfRule type="cellIs" dxfId="1649" priority="29" operator="equal">
      <formula>""</formula>
    </cfRule>
  </conditionalFormatting>
  <conditionalFormatting sqref="M4:M46">
    <cfRule type="cellIs" dxfId="1648" priority="28" operator="equal">
      <formula>""</formula>
    </cfRule>
    <cfRule type="expression" dxfId="1647" priority="27">
      <formula>ISERROR(J4)</formula>
    </cfRule>
  </conditionalFormatting>
  <conditionalFormatting sqref="M47">
    <cfRule type="expression" dxfId="1646" priority="6">
      <formula>$A$48&lt;&gt;0</formula>
    </cfRule>
  </conditionalFormatting>
  <conditionalFormatting sqref="M47:M49">
    <cfRule type="cellIs" dxfId="1645" priority="9" operator="equal">
      <formula>""</formula>
    </cfRule>
  </conditionalFormatting>
  <conditionalFormatting sqref="N10:AB10 O11:AB49">
    <cfRule type="expression" dxfId="1644" priority="4">
      <formula>$N$2=0</formula>
    </cfRule>
  </conditionalFormatting>
  <conditionalFormatting sqref="O11:Z11">
    <cfRule type="cellIs" dxfId="1643" priority="53" operator="equal">
      <formula>"Fehler!"</formula>
    </cfRule>
  </conditionalFormatting>
  <conditionalFormatting sqref="O4:AA4">
    <cfRule type="expression" dxfId="1639" priority="46">
      <formula>$N$2=0</formula>
    </cfRule>
  </conditionalFormatting>
  <conditionalFormatting sqref="O2:AB3">
    <cfRule type="expression" dxfId="1637" priority="1">
      <formula>$N$2=0</formula>
    </cfRule>
  </conditionalFormatting>
  <conditionalFormatting sqref="O5:AB8 O9:AA9">
    <cfRule type="expression" dxfId="1636" priority="52">
      <formula>$N$2=0</formula>
    </cfRule>
  </conditionalFormatting>
  <dataValidations count="2">
    <dataValidation type="list" allowBlank="1" showInputMessage="1" showErrorMessage="1" sqref="F4:F46" xr:uid="{5DA7F84E-4D90-4E65-9B5F-092D47EC65F6}">
      <formula1>"Konto,Geldbeutel,Kreditkarte,x"</formula1>
    </dataValidation>
    <dataValidation type="list" allowBlank="1" showInputMessage="1" showErrorMessage="1" sqref="H4:H46" xr:uid="{5DCF75ED-072D-4B45-8DBC-C8BB792688E0}">
      <formula1>"19,7,0,~"</formula1>
    </dataValidation>
  </dataValidations>
  <hyperlinks>
    <hyperlink ref="J2" location="'2022 EÜR'!A1" display="Menü" xr:uid="{8B282D3E-C30F-4E83-B9B2-9CDF65289BE1}"/>
    <hyperlink ref="J2:L2" location="EÜR!A1" display="EÜR" xr:uid="{F31E3F19-5B28-45E5-BD0F-58AA38BCF300}"/>
  </hyperlinks>
  <printOptions horizontalCentered="1"/>
  <pageMargins left="0" right="0" top="0" bottom="0.31496062992125984" header="0" footer="0"/>
  <pageSetup paperSize="9" orientation="portrait" r:id="rId1"/>
  <headerFooter>
    <oddFooter>&amp;L&amp;"Arial,Standard"&amp;8Datei: &amp;Z&amp;F/&amp;A&amp;C&amp;"Arial,Standard"&amp;8Seite &amp;P von &amp;N&amp;R&amp;"Arial,Standard"&amp;8Druck: &amp;D&amp;T Uhr</oddFooter>
  </headerFooter>
  <extLst>
    <ext xmlns:x14="http://schemas.microsoft.com/office/spreadsheetml/2009/9/main" uri="{78C0D931-6437-407d-A8EE-F0AAD7539E65}">
      <x14:conditionalFormattings>
        <x14:conditionalFormatting xmlns:xm="http://schemas.microsoft.com/office/excel/2006/main">
          <x14:cfRule type="cellIs" priority="36" operator="lessThan" id="{60F6B712-FD8D-466A-A57A-987E4C5B5841}">
            <xm:f>EÜR!$I$77</xm:f>
            <x14:dxf>
              <font>
                <b/>
                <i val="0"/>
                <color rgb="FFFFFF00"/>
              </font>
              <fill>
                <patternFill>
                  <bgColor rgb="FFC00000"/>
                </patternFill>
              </fill>
            </x14:dxf>
          </x14:cfRule>
          <x14:cfRule type="cellIs" priority="35" operator="greaterThan" id="{F6436CF8-7641-4C68-870F-0E43F40BCBC6}">
            <xm:f>EÜR!$I$78</xm:f>
            <x14:dxf>
              <font>
                <b/>
                <i val="0"/>
                <color rgb="FFFFFF00"/>
              </font>
              <fill>
                <patternFill>
                  <bgColor rgb="FFC00000"/>
                </patternFill>
              </fill>
            </x14:dxf>
          </x14:cfRule>
          <xm:sqref>B4:B46</xm:sqref>
        </x14:conditionalFormatting>
        <x14:conditionalFormatting xmlns:xm="http://schemas.microsoft.com/office/excel/2006/main">
          <x14:cfRule type="expression" priority="50" id="{6E80967E-A96B-4C0A-80B1-38235E53A1B7}">
            <xm:f>AND(EÜR!$J$66&lt;&gt;"ü",$H$48&lt;&gt;0)</xm:f>
            <x14:dxf>
              <font>
                <b/>
                <i val="0"/>
                <color rgb="FFFFFF00"/>
              </font>
              <fill>
                <patternFill>
                  <bgColor rgb="FFFF0000"/>
                </patternFill>
              </fill>
            </x14:dxf>
          </x14:cfRule>
          <xm:sqref>H48:I48</xm:sqref>
        </x14:conditionalFormatting>
        <x14:conditionalFormatting xmlns:xm="http://schemas.microsoft.com/office/excel/2006/main">
          <x14:cfRule type="expression" priority="54" id="{E0875443-EAE6-4D9B-9553-DB15854950C9}">
            <xm:f>AND(O13&lt;&gt;0,U!L36="!",U!L37="!")</xm:f>
            <x14:dxf>
              <font>
                <b/>
                <i val="0"/>
                <color rgb="FFFF0000"/>
              </font>
              <fill>
                <patternFill>
                  <bgColor rgb="FFFFCCCC"/>
                </patternFill>
              </fill>
            </x14:dxf>
          </x14:cfRule>
          <x14:cfRule type="expression" priority="55" id="{F75B635C-E584-4F1F-9F08-F12DEFC6ED86}">
            <xm:f>U!L37&lt;&gt;"!"</xm:f>
            <x14:dxf>
              <font>
                <b/>
                <i val="0"/>
                <color rgb="FF006666"/>
              </font>
              <fill>
                <patternFill>
                  <bgColor theme="6" tint="0.39994506668294322"/>
                </patternFill>
              </fill>
            </x14:dxf>
          </x14:cfRule>
          <x14:cfRule type="expression" priority="56" id="{A3AB31B4-0F9C-483B-90C1-025346BFEDB0}">
            <xm:f>U!L36&lt;&gt;"!"</xm:f>
            <x14:dxf>
              <font>
                <b/>
                <i val="0"/>
                <color theme="9" tint="-0.499984740745262"/>
              </font>
              <fill>
                <patternFill>
                  <bgColor rgb="FFFFFF99"/>
                </patternFill>
              </fill>
            </x14:dxf>
          </x14:cfRule>
          <xm:sqref>O13:Z13</xm:sqref>
        </x14:conditionalFormatting>
        <x14:conditionalFormatting xmlns:xm="http://schemas.microsoft.com/office/excel/2006/main">
          <x14:cfRule type="expression" priority="3" id="{4E242466-6EDA-4EB7-9544-E4A30BE5EF46}">
            <xm:f>EÜR!$J$66="-"</xm:f>
            <x14:dxf>
              <font>
                <b/>
                <i val="0"/>
                <color theme="0"/>
              </font>
              <fill>
                <patternFill>
                  <bgColor theme="0"/>
                </patternFill>
              </fill>
              <border>
                <left/>
                <right/>
                <top/>
                <bottom/>
              </border>
            </x14:dxf>
          </x14:cfRule>
          <xm:sqref>O12:AA21</xm:sqref>
        </x14:conditionalFormatting>
      </x14:conditionalFormattings>
    </ext>
  </extLst>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C5ED84-E998-4FEB-B1DA-3C29667A1FDA}">
  <sheetPr codeName="Tabelle36">
    <tabColor theme="9" tint="0.39997558519241921"/>
    <pageSetUpPr autoPageBreaks="0"/>
  </sheetPr>
  <dimension ref="A1:AB51"/>
  <sheetViews>
    <sheetView showGridLines="0" showRowColHeaders="0" zoomScaleNormal="100" workbookViewId="0">
      <pane ySplit="3" topLeftCell="A4" activePane="bottomLeft" state="frozen"/>
      <selection activeCell="F4" sqref="F4:F46"/>
      <selection pane="bottomLeft" activeCell="A4" sqref="A4"/>
    </sheetView>
  </sheetViews>
  <sheetFormatPr baseColWidth="10" defaultColWidth="9.77734375" defaultRowHeight="12.75"/>
  <cols>
    <col min="1" max="1" width="0.77734375" style="12" customWidth="1"/>
    <col min="2" max="2" width="7.6640625" style="30" customWidth="1"/>
    <col min="3" max="3" width="21.6640625" style="24" customWidth="1"/>
    <col min="4" max="4" width="7.6640625" style="24" customWidth="1"/>
    <col min="5" max="5" width="6.6640625" style="25" customWidth="1"/>
    <col min="6" max="6" width="9.6640625" style="26" customWidth="1"/>
    <col min="7" max="7" width="9.6640625" style="27" customWidth="1"/>
    <col min="8" max="8" width="2.6640625" style="28" customWidth="1"/>
    <col min="9" max="9" width="6.6640625" style="29" customWidth="1"/>
    <col min="10" max="10" width="9.6640625" style="27" customWidth="1"/>
    <col min="11" max="11" width="2.5546875" style="27" hidden="1" customWidth="1"/>
    <col min="12" max="12" width="1.5546875" style="32" hidden="1" customWidth="1"/>
    <col min="13" max="13" width="0.77734375" style="13" customWidth="1"/>
    <col min="14" max="14" width="1.77734375" style="147" customWidth="1"/>
    <col min="15" max="26" width="8.77734375" style="13" customWidth="1"/>
    <col min="27" max="27" width="10.33203125" style="13" customWidth="1"/>
    <col min="28" max="28" width="8.33203125" style="13" customWidth="1"/>
    <col min="29" max="16384" width="9.77734375" style="13"/>
  </cols>
  <sheetData>
    <row r="1" spans="1:28" s="37" customFormat="1" ht="3" customHeight="1" thickBot="1">
      <c r="A1" s="36"/>
      <c r="B1" s="53" t="str">
        <f>+B48</f>
        <v>ü</v>
      </c>
      <c r="C1" s="54">
        <f>+C49</f>
        <v>0</v>
      </c>
      <c r="D1" s="54"/>
      <c r="E1" s="53">
        <f>+E49</f>
        <v>0</v>
      </c>
      <c r="F1" s="53"/>
      <c r="G1" s="54">
        <f>+G49</f>
        <v>0</v>
      </c>
      <c r="H1" s="53"/>
      <c r="I1" s="338" t="str">
        <f>+EÜR!J66</f>
        <v>-</v>
      </c>
      <c r="J1" s="54">
        <f>+J48</f>
        <v>0</v>
      </c>
      <c r="K1" s="198"/>
      <c r="L1" s="56"/>
      <c r="N1" s="190"/>
    </row>
    <row r="2" spans="1:28" ht="23.1" customHeight="1" thickTop="1" thickBot="1">
      <c r="A2" s="36"/>
      <c r="B2" s="296" t="str">
        <f>+EÜR!D48</f>
        <v>A27</v>
      </c>
      <c r="C2" s="1290" t="str">
        <f>+EÜR!F48</f>
        <v>sonstige beschränkt abziehbare Ausgaben</v>
      </c>
      <c r="D2" s="1291"/>
      <c r="E2" s="1291"/>
      <c r="F2" s="1291"/>
      <c r="G2" s="1291"/>
      <c r="H2" s="1291"/>
      <c r="I2" s="1292"/>
      <c r="J2" s="1227" t="s">
        <v>8</v>
      </c>
      <c r="K2" s="1228"/>
      <c r="L2" s="1229"/>
      <c r="M2" s="134"/>
      <c r="N2" s="190">
        <f>IF(OR(B48="x",N3=1),0,1)</f>
        <v>1</v>
      </c>
      <c r="O2" s="188">
        <f>+EOMONTH(EÜR!$I$3,-1)+1</f>
        <v>46023</v>
      </c>
      <c r="P2" s="188">
        <f t="shared" ref="P2:Z2" si="0">+O3+1</f>
        <v>46054</v>
      </c>
      <c r="Q2" s="188">
        <f t="shared" si="0"/>
        <v>46082</v>
      </c>
      <c r="R2" s="188">
        <f t="shared" si="0"/>
        <v>46113</v>
      </c>
      <c r="S2" s="188">
        <f t="shared" si="0"/>
        <v>46143</v>
      </c>
      <c r="T2" s="188">
        <f t="shared" si="0"/>
        <v>46174</v>
      </c>
      <c r="U2" s="188">
        <f t="shared" si="0"/>
        <v>46204</v>
      </c>
      <c r="V2" s="188">
        <f t="shared" si="0"/>
        <v>46235</v>
      </c>
      <c r="W2" s="188">
        <f t="shared" si="0"/>
        <v>46266</v>
      </c>
      <c r="X2" s="188">
        <f t="shared" si="0"/>
        <v>46296</v>
      </c>
      <c r="Y2" s="188">
        <f t="shared" si="0"/>
        <v>46327</v>
      </c>
      <c r="Z2" s="188">
        <f t="shared" si="0"/>
        <v>46357</v>
      </c>
      <c r="AA2" s="48"/>
    </row>
    <row r="3" spans="1:28" ht="14.25" customHeight="1" thickTop="1">
      <c r="A3" s="36" t="s">
        <v>5</v>
      </c>
      <c r="B3" s="58" t="s">
        <v>1</v>
      </c>
      <c r="C3" s="59" t="s">
        <v>6</v>
      </c>
      <c r="D3" s="60"/>
      <c r="E3" s="310" t="s">
        <v>7</v>
      </c>
      <c r="F3" s="61" t="s">
        <v>4</v>
      </c>
      <c r="G3" s="62" t="s">
        <v>31</v>
      </c>
      <c r="H3" s="63" t="s">
        <v>33</v>
      </c>
      <c r="I3" s="64" t="s">
        <v>32</v>
      </c>
      <c r="J3" s="275" t="s">
        <v>34</v>
      </c>
      <c r="K3" s="199">
        <v>0</v>
      </c>
      <c r="L3" s="65" t="s">
        <v>5</v>
      </c>
      <c r="M3" s="135" t="s">
        <v>5</v>
      </c>
      <c r="N3" s="222">
        <f>IF(SUBTOTAL(109,K3:K47)&lt;&gt;SUM(K3:K47),1,0)</f>
        <v>0</v>
      </c>
      <c r="O3" s="189">
        <f>EOMONTH(O2,0)</f>
        <v>46053</v>
      </c>
      <c r="P3" s="189">
        <f t="shared" ref="P3:Z3" si="1">EOMONTH(P2,0)</f>
        <v>46081</v>
      </c>
      <c r="Q3" s="189">
        <f t="shared" si="1"/>
        <v>46112</v>
      </c>
      <c r="R3" s="189">
        <f t="shared" si="1"/>
        <v>46142</v>
      </c>
      <c r="S3" s="189">
        <f t="shared" si="1"/>
        <v>46173</v>
      </c>
      <c r="T3" s="189">
        <f t="shared" si="1"/>
        <v>46203</v>
      </c>
      <c r="U3" s="189">
        <f t="shared" si="1"/>
        <v>46234</v>
      </c>
      <c r="V3" s="189">
        <f t="shared" si="1"/>
        <v>46265</v>
      </c>
      <c r="W3" s="189">
        <f t="shared" si="1"/>
        <v>46295</v>
      </c>
      <c r="X3" s="189">
        <f t="shared" si="1"/>
        <v>46326</v>
      </c>
      <c r="Y3" s="189">
        <f t="shared" si="1"/>
        <v>46356</v>
      </c>
      <c r="Z3" s="189">
        <f t="shared" si="1"/>
        <v>46387</v>
      </c>
      <c r="AB3" s="14"/>
    </row>
    <row r="4" spans="1:28" ht="13.35" customHeight="1">
      <c r="A4" s="50" t="s">
        <v>5</v>
      </c>
      <c r="B4" s="141"/>
      <c r="C4" s="80"/>
      <c r="D4" s="93"/>
      <c r="E4" s="226"/>
      <c r="F4" s="89"/>
      <c r="G4" s="81"/>
      <c r="H4" s="82"/>
      <c r="I4" s="83" t="str">
        <f t="shared" ref="I4:I44" si="2">IF(G4&lt;&gt;"",+G4-G4/(1+H4/100),"")</f>
        <v/>
      </c>
      <c r="J4" s="361" t="str">
        <f t="shared" ref="J4:J44" si="3">IF(G4&lt;&gt;0,+G4-I4,"")</f>
        <v/>
      </c>
      <c r="K4" s="200">
        <v>1</v>
      </c>
      <c r="L4" s="133">
        <f>IF(B4&lt;$O$2,0,IF(B4&lt;$P$2,1,IF(B4&lt;$Q$2,2,IF(B4&lt;$R$2,3,IF(B4&lt;$S$2,4,IF(B4&lt;$T$2,5,IF(B4&lt;$U$2,6,IF(B4&lt;$V$2,7,IF(B4&lt;$W$2,8,IF(B4&lt;$X$2,9,IF(B4&lt;$Y$2,10,IF(B4&lt;$Z$2,11,IF(B4&lt;=$Z$3,12,0)))))))))))))</f>
        <v>0</v>
      </c>
      <c r="M4" s="135" t="s">
        <v>5</v>
      </c>
      <c r="N4" s="190">
        <f>+N10+AA12+AA16</f>
        <v>0</v>
      </c>
      <c r="O4" s="251" t="s">
        <v>36</v>
      </c>
      <c r="P4" s="251" t="s">
        <v>37</v>
      </c>
      <c r="Q4" s="251" t="s">
        <v>38</v>
      </c>
      <c r="R4" s="251" t="s">
        <v>39</v>
      </c>
      <c r="S4" s="251" t="s">
        <v>40</v>
      </c>
      <c r="T4" s="251" t="s">
        <v>41</v>
      </c>
      <c r="U4" s="251" t="s">
        <v>42</v>
      </c>
      <c r="V4" s="251" t="s">
        <v>43</v>
      </c>
      <c r="W4" s="251" t="s">
        <v>44</v>
      </c>
      <c r="X4" s="251" t="s">
        <v>45</v>
      </c>
      <c r="Y4" s="251" t="s">
        <v>46</v>
      </c>
      <c r="Z4" s="251" t="s">
        <v>47</v>
      </c>
      <c r="AA4" s="1209" t="s">
        <v>255</v>
      </c>
      <c r="AB4" s="1210"/>
    </row>
    <row r="5" spans="1:28" ht="13.35" customHeight="1">
      <c r="A5" s="50" t="s">
        <v>5</v>
      </c>
      <c r="B5" s="141"/>
      <c r="C5" s="80"/>
      <c r="D5" s="93"/>
      <c r="E5" s="226"/>
      <c r="F5" s="89"/>
      <c r="G5" s="81"/>
      <c r="H5" s="82"/>
      <c r="I5" s="83" t="str">
        <f t="shared" si="2"/>
        <v/>
      </c>
      <c r="J5" s="361" t="str">
        <f t="shared" si="3"/>
        <v/>
      </c>
      <c r="K5" s="200">
        <v>2</v>
      </c>
      <c r="L5" s="133">
        <f t="shared" ref="L5:L44" si="4">IF(B5&lt;$O$2,0,IF(B5&lt;$P$2,1,IF(B5&lt;$Q$2,2,IF(B5&lt;$R$2,3,IF(B5&lt;$S$2,4,IF(B5&lt;$T$2,5,IF(B5&lt;$U$2,6,IF(B5&lt;$V$2,7,IF(B5&lt;$W$2,8,IF(B5&lt;$X$2,9,IF(B5&lt;$Y$2,10,IF(B5&lt;$Z$2,11,IF(B5&lt;=$Z$3,12,0)))))))))))))</f>
        <v>0</v>
      </c>
      <c r="M5" s="135" t="s">
        <v>5</v>
      </c>
      <c r="O5" s="252">
        <f>SUMIFS($G$3:$G$47,$L$3:$L$47,1,$F$3:$F$47,"Konto")</f>
        <v>0</v>
      </c>
      <c r="P5" s="252">
        <f>SUMIFS($G$3:$G$47,$L$3:$L$47,2,$F$3:$F$47,"Konto")</f>
        <v>0</v>
      </c>
      <c r="Q5" s="252">
        <f>SUMIFS($G$3:$G$47,$L$3:$L$47,3,$F$3:$F$47,"Konto")</f>
        <v>0</v>
      </c>
      <c r="R5" s="252">
        <f>SUMIFS($G$3:$G$47,$L$3:$L$47,4,$F$3:$F$47,"Konto")</f>
        <v>0</v>
      </c>
      <c r="S5" s="252">
        <f>SUMIFS($G$3:$G$47,$L$3:$L$47,5,$F$3:$F$47,"Konto")</f>
        <v>0</v>
      </c>
      <c r="T5" s="252">
        <f>SUMIFS($G$3:$G$47,$L$3:$L$47,6,$F$3:$F$47,"Konto")</f>
        <v>0</v>
      </c>
      <c r="U5" s="252">
        <f>SUMIFS($G$3:$G$47,$L$3:$L$47,7,$F$3:$F$47,"Konto")</f>
        <v>0</v>
      </c>
      <c r="V5" s="252">
        <f>SUMIFS($G$3:$G$47,$L$3:$L$47,8,$F$3:$F$47,"Konto")</f>
        <v>0</v>
      </c>
      <c r="W5" s="252">
        <f>SUMIFS($G$3:$G$47,$L$3:$L$47,9,$F$3:$F$47,"Konto")</f>
        <v>0</v>
      </c>
      <c r="X5" s="252">
        <f>SUMIFS($G$3:$G$47,$L$3:$L$47,10,$F$3:$F$47,"Konto")</f>
        <v>0</v>
      </c>
      <c r="Y5" s="252">
        <f>SUMIFS($G$3:$G$47,$L$3:$L$47,11,$F$3:$F$47,"Konto")</f>
        <v>0</v>
      </c>
      <c r="Z5" s="252">
        <f>SUMIFS($G$3:$G$47,$L$3:$L$47,12,$F$3:$F$47,"Konto")</f>
        <v>0</v>
      </c>
      <c r="AA5" s="253">
        <f>SUM(O5:Z5)</f>
        <v>0</v>
      </c>
      <c r="AB5" s="254" t="s">
        <v>140</v>
      </c>
    </row>
    <row r="6" spans="1:28" ht="13.35" customHeight="1">
      <c r="A6" s="50" t="s">
        <v>5</v>
      </c>
      <c r="B6" s="141"/>
      <c r="C6" s="80"/>
      <c r="D6" s="93"/>
      <c r="E6" s="226"/>
      <c r="F6" s="89"/>
      <c r="G6" s="81"/>
      <c r="H6" s="82"/>
      <c r="I6" s="83" t="str">
        <f t="shared" si="2"/>
        <v/>
      </c>
      <c r="J6" s="361" t="str">
        <f t="shared" si="3"/>
        <v/>
      </c>
      <c r="K6" s="200">
        <v>3</v>
      </c>
      <c r="L6" s="133">
        <f t="shared" si="4"/>
        <v>0</v>
      </c>
      <c r="M6" s="135" t="s">
        <v>5</v>
      </c>
      <c r="N6" s="190"/>
      <c r="O6" s="252">
        <f>SUMIFS($G$3:$G$47,$L$3:$L$47,1,$F$3:$F$47,"Kreditkarte")</f>
        <v>0</v>
      </c>
      <c r="P6" s="252">
        <f>SUMIFS($G$3:$G$47,$L$3:$L$47,2,$F$3:$F$47,"Kreditkarte")</f>
        <v>0</v>
      </c>
      <c r="Q6" s="252">
        <f>SUMIFS($G$3:$G$47,$L$3:$L$47,3,$F$3:$F$47,"Kreditkarte")</f>
        <v>0</v>
      </c>
      <c r="R6" s="252">
        <f>SUMIFS($G$3:$G$47,$L$3:$L$47,4,$F$3:$F$47,"Kreditkarte")</f>
        <v>0</v>
      </c>
      <c r="S6" s="252">
        <f>SUMIFS($G$3:$G$47,$L$3:$L$47,5,$F$3:$F$47,"Kreditkarte")</f>
        <v>0</v>
      </c>
      <c r="T6" s="252">
        <f>SUMIFS($G$3:$G$47,$L$3:$L$47,6,$F$3:$F$47,"Kreditkarte")</f>
        <v>0</v>
      </c>
      <c r="U6" s="252">
        <f>SUMIFS($G$3:$G$47,$L$3:$L$47,7,$F$3:$F$47,"Kreditkarte")</f>
        <v>0</v>
      </c>
      <c r="V6" s="252">
        <f>SUMIFS($G$3:$G$47,$L$3:$L$47,8,$F$3:$F$47,"Kreditkarte")</f>
        <v>0</v>
      </c>
      <c r="W6" s="252">
        <f>SUMIFS($G$3:$G$47,$L$3:$L$47,9,$F$3:$F$47,"Kreditkarte")</f>
        <v>0</v>
      </c>
      <c r="X6" s="252">
        <f>SUMIFS($G$3:$G$47,$L$3:$L$47,10,$F$3:$F$47,"Kreditkarte")</f>
        <v>0</v>
      </c>
      <c r="Y6" s="252">
        <f>SUMIFS($G$3:$G$47,$L$3:$L$47,11,$F$3:$F$47,"Kreditkarte")</f>
        <v>0</v>
      </c>
      <c r="Z6" s="252">
        <f>SUMIFS($G$3:$G$47,$L$3:$L$47,12,$F$3:$F$47,"Kreditkarte")</f>
        <v>0</v>
      </c>
      <c r="AA6" s="255">
        <f t="shared" ref="AA6:AA8" si="5">SUM(O6:Z6)</f>
        <v>0</v>
      </c>
      <c r="AB6" s="256" t="s">
        <v>142</v>
      </c>
    </row>
    <row r="7" spans="1:28" ht="13.35" customHeight="1">
      <c r="A7" s="50" t="s">
        <v>5</v>
      </c>
      <c r="B7" s="141"/>
      <c r="C7" s="80"/>
      <c r="D7" s="93"/>
      <c r="E7" s="226"/>
      <c r="F7" s="89"/>
      <c r="G7" s="81"/>
      <c r="H7" s="82"/>
      <c r="I7" s="83" t="str">
        <f t="shared" si="2"/>
        <v/>
      </c>
      <c r="J7" s="361" t="str">
        <f t="shared" si="3"/>
        <v/>
      </c>
      <c r="K7" s="200">
        <v>4</v>
      </c>
      <c r="L7" s="133">
        <f t="shared" si="4"/>
        <v>0</v>
      </c>
      <c r="M7" s="135" t="s">
        <v>5</v>
      </c>
      <c r="O7" s="252">
        <f>SUMIFS($G$3:$G$47,$L$3:$L$47,1,$F$3:$F$47,"Geldbeutel")</f>
        <v>0</v>
      </c>
      <c r="P7" s="252">
        <f>SUMIFS($G$3:$G$47,$L$3:$L$47,2,$F$3:$F$47,"Geldbeutel")</f>
        <v>0</v>
      </c>
      <c r="Q7" s="252">
        <f>SUMIFS($G$3:$G$47,$L$3:$L$47,3,$F$3:$F$47,"Geldbeutel")</f>
        <v>0</v>
      </c>
      <c r="R7" s="252">
        <f>SUMIFS($G$3:$G$47,$L$3:$L$47,4,$F$3:$F$47,"Geldbeutel")</f>
        <v>0</v>
      </c>
      <c r="S7" s="252">
        <f>SUMIFS($G$3:$G$47,$L$3:$L$47,5,$F$3:$F$47,"Geldbeutel")</f>
        <v>0</v>
      </c>
      <c r="T7" s="252">
        <f>SUMIFS($G$3:$G$47,$L$3:$L$47,6,$F$3:$F$47,"Geldbeutel")</f>
        <v>0</v>
      </c>
      <c r="U7" s="252">
        <f>SUMIFS($G$3:$G$47,$L$3:$L$47,7,$F$3:$F$47,"Geldbeutel")</f>
        <v>0</v>
      </c>
      <c r="V7" s="252">
        <f>SUMIFS($G$3:$G$47,$L$3:$L$47,8,$F$3:$F$47,"Geldbeutel")</f>
        <v>0</v>
      </c>
      <c r="W7" s="252">
        <f>SUMIFS($G$3:$G$47,$L$3:$L$47,9,$F$3:$F$47,"Geldbeutel")</f>
        <v>0</v>
      </c>
      <c r="X7" s="252">
        <f>SUMIFS($G$3:$G$47,$L$3:$L$47,10,$F$3:$F$47,"Geldbeutel")</f>
        <v>0</v>
      </c>
      <c r="Y7" s="252">
        <f>SUMIFS($G$3:$G$47,$L$3:$L$47,11,$F$3:$F$47,"Geldbeutel")</f>
        <v>0</v>
      </c>
      <c r="Z7" s="252">
        <f>SUMIFS($G$3:$G$47,$L$3:$L$47,12,$F$3:$F$47,"Geldbeutel")</f>
        <v>0</v>
      </c>
      <c r="AA7" s="253">
        <f t="shared" si="5"/>
        <v>0</v>
      </c>
      <c r="AB7" s="254" t="s">
        <v>139</v>
      </c>
    </row>
    <row r="8" spans="1:28" ht="13.35" customHeight="1">
      <c r="A8" s="50" t="s">
        <v>5</v>
      </c>
      <c r="B8" s="141"/>
      <c r="C8" s="80"/>
      <c r="D8" s="93"/>
      <c r="E8" s="226"/>
      <c r="F8" s="89"/>
      <c r="G8" s="81"/>
      <c r="H8" s="82"/>
      <c r="I8" s="83" t="str">
        <f t="shared" si="2"/>
        <v/>
      </c>
      <c r="J8" s="361" t="str">
        <f t="shared" si="3"/>
        <v/>
      </c>
      <c r="K8" s="200">
        <v>5</v>
      </c>
      <c r="L8" s="133">
        <f t="shared" si="4"/>
        <v>0</v>
      </c>
      <c r="M8" s="135" t="s">
        <v>5</v>
      </c>
      <c r="O8" s="252">
        <f>SUMIFS($G$3:$G$47,$L$3:$L$47,1,$F$3:$F$47,"X")</f>
        <v>0</v>
      </c>
      <c r="P8" s="252">
        <f>SUMIFS($G$3:$G$47,$L$3:$L$47,2,$F$3:$F$47,"X")</f>
        <v>0</v>
      </c>
      <c r="Q8" s="252">
        <f>SUMIFS($G$3:$G$47,$L$3:$L$47,3,$F$3:$F$47,"X")</f>
        <v>0</v>
      </c>
      <c r="R8" s="252">
        <f>SUMIFS($G$3:$G$47,$L$3:$L$47,4,$F$3:$F$47,"X")</f>
        <v>0</v>
      </c>
      <c r="S8" s="252">
        <f>SUMIFS($G$3:$G$47,$L$3:$L$47,5,$F$3:$F$47,"X")</f>
        <v>0</v>
      </c>
      <c r="T8" s="252">
        <f>SUMIFS($G$3:$G$47,$L$3:$L$47,6,$F$3:$F$47,"X")</f>
        <v>0</v>
      </c>
      <c r="U8" s="252">
        <f>SUMIFS($G$3:$G$47,$L$3:$L$47,7,$F$3:$F$47,"X")</f>
        <v>0</v>
      </c>
      <c r="V8" s="252">
        <f>SUMIFS($G$3:$G$47,$L$3:$L$47,8,$F$3:$F$47,"X")</f>
        <v>0</v>
      </c>
      <c r="W8" s="252">
        <f>SUMIFS($G$3:$G$47,$L$3:$L$47,9,$F$3:$F$47,"X")</f>
        <v>0</v>
      </c>
      <c r="X8" s="252">
        <f>SUMIFS($G$3:$G$47,$L$3:$L$47,10,$F$3:$F$47,"X")</f>
        <v>0</v>
      </c>
      <c r="Y8" s="252">
        <f>SUMIFS($G$3:$G$47,$L$3:$L$47,11,$F$3:$F$47,"X")</f>
        <v>0</v>
      </c>
      <c r="Z8" s="252">
        <f>SUMIFS($G$3:$G$47,$L$3:$L$47,12,$F$3:$F$47,"X")</f>
        <v>0</v>
      </c>
      <c r="AA8" s="255">
        <f t="shared" si="5"/>
        <v>0</v>
      </c>
      <c r="AB8" s="256" t="s">
        <v>192</v>
      </c>
    </row>
    <row r="9" spans="1:28" ht="13.35" customHeight="1">
      <c r="A9" s="50" t="s">
        <v>5</v>
      </c>
      <c r="B9" s="141"/>
      <c r="C9" s="80"/>
      <c r="D9" s="93"/>
      <c r="E9" s="226"/>
      <c r="F9" s="89"/>
      <c r="G9" s="81"/>
      <c r="H9" s="82"/>
      <c r="I9" s="83" t="str">
        <f t="shared" si="2"/>
        <v/>
      </c>
      <c r="J9" s="361" t="str">
        <f t="shared" si="3"/>
        <v/>
      </c>
      <c r="K9" s="200">
        <v>6</v>
      </c>
      <c r="L9" s="133">
        <f t="shared" si="4"/>
        <v>0</v>
      </c>
      <c r="M9" s="135" t="s">
        <v>5</v>
      </c>
      <c r="N9" s="191">
        <f>IF(OR(AND(AA14&lt;&gt;0,B48="x"),(O14+AA13)&lt;&gt;H48),1,0)</f>
        <v>0</v>
      </c>
      <c r="O9" s="257">
        <f>SUM(O5:O8)</f>
        <v>0</v>
      </c>
      <c r="P9" s="257">
        <f t="shared" ref="P9:Z9" si="6">SUM(P5:P8)</f>
        <v>0</v>
      </c>
      <c r="Q9" s="257">
        <f t="shared" si="6"/>
        <v>0</v>
      </c>
      <c r="R9" s="257">
        <f t="shared" si="6"/>
        <v>0</v>
      </c>
      <c r="S9" s="257">
        <f t="shared" si="6"/>
        <v>0</v>
      </c>
      <c r="T9" s="257">
        <f t="shared" si="6"/>
        <v>0</v>
      </c>
      <c r="U9" s="257">
        <f t="shared" si="6"/>
        <v>0</v>
      </c>
      <c r="V9" s="257">
        <f t="shared" si="6"/>
        <v>0</v>
      </c>
      <c r="W9" s="257">
        <f t="shared" si="6"/>
        <v>0</v>
      </c>
      <c r="X9" s="257">
        <f t="shared" si="6"/>
        <v>0</v>
      </c>
      <c r="Y9" s="257">
        <f t="shared" si="6"/>
        <v>0</v>
      </c>
      <c r="Z9" s="257">
        <f t="shared" si="6"/>
        <v>0</v>
      </c>
      <c r="AA9" s="1211" t="s">
        <v>197</v>
      </c>
      <c r="AB9" s="1212"/>
    </row>
    <row r="10" spans="1:28" ht="13.35" customHeight="1">
      <c r="A10" s="50" t="s">
        <v>5</v>
      </c>
      <c r="B10" s="141"/>
      <c r="C10" s="80"/>
      <c r="D10" s="93"/>
      <c r="E10" s="226"/>
      <c r="F10" s="89"/>
      <c r="G10" s="81"/>
      <c r="H10" s="82"/>
      <c r="I10" s="83" t="str">
        <f t="shared" si="2"/>
        <v/>
      </c>
      <c r="J10" s="361" t="str">
        <f t="shared" si="3"/>
        <v/>
      </c>
      <c r="K10" s="200">
        <v>7</v>
      </c>
      <c r="L10" s="133">
        <f t="shared" si="4"/>
        <v>0</v>
      </c>
      <c r="M10" s="135" t="s">
        <v>5</v>
      </c>
      <c r="N10" s="259">
        <f>IF(O10+AA10&lt;&gt;G48,1,0)</f>
        <v>0</v>
      </c>
      <c r="O10" s="1230">
        <f>SUM(O5:Z8)</f>
        <v>0</v>
      </c>
      <c r="P10" s="1231"/>
      <c r="Q10" s="1231"/>
      <c r="R10" s="1231"/>
      <c r="S10" s="1231"/>
      <c r="T10" s="1231"/>
      <c r="U10" s="1231"/>
      <c r="V10" s="1231"/>
      <c r="W10" s="1231"/>
      <c r="X10" s="1231"/>
      <c r="Y10" s="1231"/>
      <c r="Z10" s="1232"/>
      <c r="AA10" s="292">
        <f>+G48-AA7-AA6-AA5-AA8</f>
        <v>0</v>
      </c>
      <c r="AB10" s="293" t="s">
        <v>205</v>
      </c>
    </row>
    <row r="11" spans="1:28" ht="13.35" customHeight="1">
      <c r="A11" s="50" t="s">
        <v>5</v>
      </c>
      <c r="B11" s="141"/>
      <c r="C11" s="80"/>
      <c r="D11" s="93"/>
      <c r="E11" s="226"/>
      <c r="F11" s="89"/>
      <c r="G11" s="81"/>
      <c r="H11" s="82"/>
      <c r="I11" s="83" t="str">
        <f t="shared" si="2"/>
        <v/>
      </c>
      <c r="J11" s="361" t="str">
        <f t="shared" si="3"/>
        <v/>
      </c>
      <c r="K11" s="200">
        <v>8</v>
      </c>
      <c r="L11" s="133">
        <f t="shared" si="4"/>
        <v>0</v>
      </c>
      <c r="M11" s="135" t="s">
        <v>5</v>
      </c>
      <c r="O11" s="1219" t="str">
        <f>IF(N4&gt;0,"Fehler!","")</f>
        <v/>
      </c>
      <c r="P11" s="1219"/>
      <c r="Q11" s="1219"/>
      <c r="R11" s="1219"/>
      <c r="S11" s="1219"/>
      <c r="T11" s="1219"/>
      <c r="U11" s="1219"/>
      <c r="V11" s="1219"/>
      <c r="W11" s="1219"/>
      <c r="X11" s="1219"/>
      <c r="Y11" s="1219"/>
      <c r="Z11" s="1219"/>
    </row>
    <row r="12" spans="1:28" ht="13.35" customHeight="1">
      <c r="A12" s="50" t="s">
        <v>5</v>
      </c>
      <c r="B12" s="141"/>
      <c r="C12" s="80"/>
      <c r="D12" s="93"/>
      <c r="E12" s="226"/>
      <c r="F12" s="89"/>
      <c r="G12" s="81"/>
      <c r="H12" s="82"/>
      <c r="I12" s="83" t="str">
        <f t="shared" si="2"/>
        <v/>
      </c>
      <c r="J12" s="361" t="str">
        <f t="shared" si="3"/>
        <v/>
      </c>
      <c r="K12" s="200">
        <v>9</v>
      </c>
      <c r="L12" s="133">
        <f t="shared" si="4"/>
        <v>0</v>
      </c>
      <c r="M12" s="135" t="s">
        <v>5</v>
      </c>
      <c r="O12" s="203" t="s">
        <v>36</v>
      </c>
      <c r="P12" s="203" t="s">
        <v>37</v>
      </c>
      <c r="Q12" s="203" t="s">
        <v>38</v>
      </c>
      <c r="R12" s="203" t="s">
        <v>39</v>
      </c>
      <c r="S12" s="203" t="s">
        <v>40</v>
      </c>
      <c r="T12" s="203" t="s">
        <v>41</v>
      </c>
      <c r="U12" s="203" t="s">
        <v>42</v>
      </c>
      <c r="V12" s="203" t="s">
        <v>43</v>
      </c>
      <c r="W12" s="203" t="s">
        <v>44</v>
      </c>
      <c r="X12" s="203" t="s">
        <v>45</v>
      </c>
      <c r="Y12" s="203" t="s">
        <v>46</v>
      </c>
      <c r="Z12" s="203" t="s">
        <v>47</v>
      </c>
      <c r="AA12" s="221">
        <f>IF(O14+AA13&lt;&gt;H48,1,0)</f>
        <v>0</v>
      </c>
    </row>
    <row r="13" spans="1:28" ht="13.35" customHeight="1">
      <c r="A13" s="50" t="s">
        <v>5</v>
      </c>
      <c r="B13" s="141"/>
      <c r="C13" s="80"/>
      <c r="D13" s="93"/>
      <c r="E13" s="226"/>
      <c r="F13" s="89"/>
      <c r="G13" s="81"/>
      <c r="H13" s="82"/>
      <c r="I13" s="83" t="str">
        <f t="shared" si="2"/>
        <v/>
      </c>
      <c r="J13" s="361" t="str">
        <f t="shared" si="3"/>
        <v/>
      </c>
      <c r="K13" s="200">
        <v>10</v>
      </c>
      <c r="L13" s="133">
        <f t="shared" si="4"/>
        <v>0</v>
      </c>
      <c r="M13" s="135" t="s">
        <v>5</v>
      </c>
      <c r="O13" s="187">
        <f>SUMIF($L$3:$L$47,1,$I$3:$I$47)</f>
        <v>0</v>
      </c>
      <c r="P13" s="187">
        <f>SUMIF($L$3:$L$47,2,$I$3:$I$47)</f>
        <v>0</v>
      </c>
      <c r="Q13" s="187">
        <f>SUMIF($L$3:$L$47,3,$I$3:$I$47)</f>
        <v>0</v>
      </c>
      <c r="R13" s="187">
        <f>SUMIF($L$3:$L$47,4,$I$3:$I$47)</f>
        <v>0</v>
      </c>
      <c r="S13" s="187">
        <f>SUMIF($L$3:$L$47,5,$I$3:$I$47)</f>
        <v>0</v>
      </c>
      <c r="T13" s="187">
        <f>SUMIF($L$3:$L$47,6,$I$3:$I$47)</f>
        <v>0</v>
      </c>
      <c r="U13" s="187">
        <f>SUMIF($L$3:$L$47,7,$I$3:$I$47)</f>
        <v>0</v>
      </c>
      <c r="V13" s="187">
        <f>SUMIF($L$3:$L$47,8,$I$3:$I$47)</f>
        <v>0</v>
      </c>
      <c r="W13" s="187">
        <f>SUMIF($L$3:$L$47,9,$I$3:$I$47)</f>
        <v>0</v>
      </c>
      <c r="X13" s="187">
        <f>SUMIF($L$3:$L$47,10,$I$3:$I$47)</f>
        <v>0</v>
      </c>
      <c r="Y13" s="187">
        <f>SUMIF($L$3:$L$47,11,$I$3:$I$47)</f>
        <v>0</v>
      </c>
      <c r="Z13" s="187">
        <f>SUMIF($L$3:$L$47,12,$I$3:$I$47)</f>
        <v>0</v>
      </c>
      <c r="AA13" s="1220">
        <f>SUMIF($L$3:$L$47,0,$I$3:$I$47)</f>
        <v>0</v>
      </c>
      <c r="AB13" s="1221"/>
    </row>
    <row r="14" spans="1:28" ht="13.35" customHeight="1">
      <c r="A14" s="50" t="s">
        <v>5</v>
      </c>
      <c r="B14" s="141"/>
      <c r="C14" s="80"/>
      <c r="D14" s="93"/>
      <c r="E14" s="226"/>
      <c r="F14" s="89"/>
      <c r="G14" s="81"/>
      <c r="H14" s="82"/>
      <c r="I14" s="83" t="str">
        <f t="shared" si="2"/>
        <v/>
      </c>
      <c r="J14" s="361" t="str">
        <f t="shared" si="3"/>
        <v/>
      </c>
      <c r="K14" s="200">
        <v>11</v>
      </c>
      <c r="L14" s="133">
        <f t="shared" si="4"/>
        <v>0</v>
      </c>
      <c r="M14" s="135" t="s">
        <v>5</v>
      </c>
      <c r="O14" s="1299">
        <f>SUM(O13:Z13)</f>
        <v>0</v>
      </c>
      <c r="P14" s="1300"/>
      <c r="Q14" s="1300"/>
      <c r="R14" s="1300"/>
      <c r="S14" s="1300"/>
      <c r="T14" s="1300"/>
      <c r="U14" s="1300"/>
      <c r="V14" s="1300"/>
      <c r="W14" s="1300"/>
      <c r="X14" s="1300"/>
      <c r="Y14" s="1300"/>
      <c r="Z14" s="1301"/>
      <c r="AA14" s="1222">
        <f>SUM(O13:Z13)+AA13</f>
        <v>0</v>
      </c>
      <c r="AB14" s="1223"/>
    </row>
    <row r="15" spans="1:28" ht="13.35" customHeight="1">
      <c r="A15" s="50" t="s">
        <v>5</v>
      </c>
      <c r="B15" s="141"/>
      <c r="C15" s="260"/>
      <c r="D15" s="93"/>
      <c r="E15" s="226"/>
      <c r="F15" s="89"/>
      <c r="G15" s="81"/>
      <c r="H15" s="82"/>
      <c r="I15" s="83" t="str">
        <f t="shared" si="2"/>
        <v/>
      </c>
      <c r="J15" s="361" t="str">
        <f t="shared" si="3"/>
        <v/>
      </c>
      <c r="K15" s="200">
        <v>12</v>
      </c>
      <c r="L15" s="133">
        <f t="shared" si="4"/>
        <v>0</v>
      </c>
      <c r="M15" s="135" t="s">
        <v>5</v>
      </c>
      <c r="O15" s="244"/>
      <c r="P15" s="244"/>
      <c r="Q15" s="244"/>
      <c r="R15" s="244"/>
      <c r="S15" s="244"/>
      <c r="T15" s="244"/>
      <c r="U15" s="244"/>
      <c r="V15" s="244"/>
      <c r="W15" s="244"/>
      <c r="X15" s="244"/>
      <c r="Y15" s="244"/>
      <c r="Z15" s="244"/>
      <c r="AA15" s="244"/>
      <c r="AB15" s="244"/>
    </row>
    <row r="16" spans="1:28" ht="13.35" customHeight="1">
      <c r="A16" s="50" t="s">
        <v>5</v>
      </c>
      <c r="B16" s="141"/>
      <c r="C16" s="80"/>
      <c r="D16" s="93"/>
      <c r="E16" s="226"/>
      <c r="F16" s="89"/>
      <c r="G16" s="81"/>
      <c r="H16" s="82"/>
      <c r="I16" s="83" t="str">
        <f t="shared" si="2"/>
        <v/>
      </c>
      <c r="J16" s="361" t="str">
        <f t="shared" si="3"/>
        <v/>
      </c>
      <c r="K16" s="200">
        <v>13</v>
      </c>
      <c r="L16" s="133">
        <f t="shared" si="4"/>
        <v>0</v>
      </c>
      <c r="M16" s="135" t="s">
        <v>5</v>
      </c>
      <c r="O16" s="244"/>
      <c r="P16" s="244"/>
      <c r="Q16" s="244"/>
      <c r="R16" s="244"/>
      <c r="S16" s="244"/>
      <c r="T16" s="244"/>
      <c r="U16" s="244"/>
      <c r="V16" s="244"/>
      <c r="W16" s="244"/>
      <c r="X16" s="244"/>
      <c r="Y16" s="244"/>
      <c r="Z16" s="244"/>
      <c r="AA16" s="244"/>
      <c r="AB16" s="244"/>
    </row>
    <row r="17" spans="1:28" ht="13.35" customHeight="1">
      <c r="A17" s="50" t="s">
        <v>5</v>
      </c>
      <c r="B17" s="141"/>
      <c r="C17" s="80"/>
      <c r="D17" s="93"/>
      <c r="E17" s="226"/>
      <c r="F17" s="89"/>
      <c r="G17" s="81"/>
      <c r="H17" s="82"/>
      <c r="I17" s="83" t="str">
        <f t="shared" si="2"/>
        <v/>
      </c>
      <c r="J17" s="361" t="str">
        <f t="shared" si="3"/>
        <v/>
      </c>
      <c r="K17" s="200">
        <v>14</v>
      </c>
      <c r="L17" s="133">
        <f t="shared" si="4"/>
        <v>0</v>
      </c>
      <c r="M17" s="135" t="s">
        <v>5</v>
      </c>
      <c r="O17" s="244"/>
      <c r="P17" s="244"/>
      <c r="Q17" s="244"/>
      <c r="R17" s="244"/>
      <c r="S17" s="244"/>
      <c r="T17" s="244"/>
      <c r="U17" s="244"/>
      <c r="V17" s="244"/>
      <c r="W17" s="244"/>
      <c r="X17" s="244"/>
      <c r="Y17" s="244"/>
      <c r="Z17" s="244"/>
      <c r="AA17" s="244"/>
      <c r="AB17" s="244"/>
    </row>
    <row r="18" spans="1:28" ht="13.35" customHeight="1">
      <c r="A18" s="50" t="s">
        <v>5</v>
      </c>
      <c r="B18" s="141"/>
      <c r="C18" s="80"/>
      <c r="D18" s="93"/>
      <c r="E18" s="226"/>
      <c r="F18" s="89"/>
      <c r="G18" s="81"/>
      <c r="H18" s="82"/>
      <c r="I18" s="83" t="str">
        <f t="shared" si="2"/>
        <v/>
      </c>
      <c r="J18" s="361" t="str">
        <f t="shared" si="3"/>
        <v/>
      </c>
      <c r="K18" s="200">
        <v>15</v>
      </c>
      <c r="L18" s="133">
        <f t="shared" si="4"/>
        <v>0</v>
      </c>
      <c r="M18" s="135" t="s">
        <v>5</v>
      </c>
      <c r="O18" s="244"/>
      <c r="P18" s="244"/>
      <c r="Q18" s="244"/>
      <c r="R18" s="244"/>
      <c r="S18" s="244"/>
      <c r="T18" s="244"/>
      <c r="U18" s="244"/>
      <c r="V18" s="244"/>
      <c r="W18" s="244"/>
      <c r="X18" s="244"/>
      <c r="Y18" s="244"/>
      <c r="Z18" s="244"/>
      <c r="AA18" s="244"/>
      <c r="AB18" s="244"/>
    </row>
    <row r="19" spans="1:28" ht="13.35" customHeight="1">
      <c r="A19" s="50" t="s">
        <v>5</v>
      </c>
      <c r="B19" s="141"/>
      <c r="C19" s="80"/>
      <c r="D19" s="93"/>
      <c r="E19" s="226"/>
      <c r="F19" s="89"/>
      <c r="G19" s="81"/>
      <c r="H19" s="82"/>
      <c r="I19" s="83" t="str">
        <f t="shared" si="2"/>
        <v/>
      </c>
      <c r="J19" s="361" t="str">
        <f t="shared" si="3"/>
        <v/>
      </c>
      <c r="K19" s="200">
        <v>16</v>
      </c>
      <c r="L19" s="133">
        <f t="shared" si="4"/>
        <v>0</v>
      </c>
      <c r="M19" s="135" t="s">
        <v>5</v>
      </c>
      <c r="O19" s="244"/>
      <c r="P19" s="244"/>
      <c r="Q19" s="244"/>
      <c r="R19" s="244"/>
      <c r="S19" s="244"/>
      <c r="T19" s="244"/>
      <c r="U19" s="244"/>
      <c r="V19" s="244"/>
      <c r="W19" s="244"/>
      <c r="X19" s="244"/>
      <c r="Y19" s="244"/>
      <c r="Z19" s="244"/>
      <c r="AA19" s="244"/>
      <c r="AB19" s="244"/>
    </row>
    <row r="20" spans="1:28" ht="13.35" customHeight="1">
      <c r="A20" s="50" t="s">
        <v>5</v>
      </c>
      <c r="B20" s="141"/>
      <c r="C20" s="80"/>
      <c r="D20" s="93"/>
      <c r="E20" s="226"/>
      <c r="F20" s="89"/>
      <c r="G20" s="81"/>
      <c r="H20" s="82"/>
      <c r="I20" s="83" t="str">
        <f t="shared" si="2"/>
        <v/>
      </c>
      <c r="J20" s="361" t="str">
        <f t="shared" si="3"/>
        <v/>
      </c>
      <c r="K20" s="200">
        <v>17</v>
      </c>
      <c r="L20" s="133">
        <f t="shared" si="4"/>
        <v>0</v>
      </c>
      <c r="M20" s="135" t="s">
        <v>5</v>
      </c>
      <c r="O20" s="244"/>
      <c r="P20" s="244"/>
      <c r="Q20" s="244"/>
      <c r="R20" s="244"/>
      <c r="S20" s="244"/>
      <c r="T20" s="244"/>
      <c r="U20" s="244"/>
      <c r="V20" s="244"/>
      <c r="W20" s="244"/>
      <c r="X20" s="244"/>
      <c r="Y20" s="244"/>
      <c r="Z20" s="244"/>
      <c r="AA20" s="244"/>
      <c r="AB20" s="244"/>
    </row>
    <row r="21" spans="1:28" ht="13.35" customHeight="1">
      <c r="A21" s="50" t="s">
        <v>5</v>
      </c>
      <c r="B21" s="141"/>
      <c r="C21" s="80"/>
      <c r="D21" s="93"/>
      <c r="E21" s="226"/>
      <c r="F21" s="89"/>
      <c r="G21" s="81"/>
      <c r="H21" s="82"/>
      <c r="I21" s="83" t="str">
        <f t="shared" si="2"/>
        <v/>
      </c>
      <c r="J21" s="361" t="str">
        <f t="shared" si="3"/>
        <v/>
      </c>
      <c r="K21" s="200">
        <v>18</v>
      </c>
      <c r="L21" s="133">
        <f t="shared" si="4"/>
        <v>0</v>
      </c>
      <c r="M21" s="135" t="s">
        <v>5</v>
      </c>
      <c r="O21" s="244"/>
      <c r="P21" s="244"/>
      <c r="Q21" s="244"/>
      <c r="R21" s="244"/>
      <c r="S21" s="244"/>
      <c r="T21" s="244"/>
      <c r="U21" s="244"/>
      <c r="V21" s="244"/>
      <c r="W21" s="244"/>
      <c r="X21" s="244"/>
      <c r="Y21" s="244"/>
      <c r="Z21" s="244"/>
      <c r="AA21" s="244"/>
      <c r="AB21" s="244"/>
    </row>
    <row r="22" spans="1:28" ht="13.35" customHeight="1">
      <c r="A22" s="50" t="s">
        <v>5</v>
      </c>
      <c r="B22" s="141"/>
      <c r="C22" s="80"/>
      <c r="D22" s="93"/>
      <c r="E22" s="226"/>
      <c r="F22" s="89"/>
      <c r="G22" s="81"/>
      <c r="H22" s="82"/>
      <c r="I22" s="83" t="str">
        <f t="shared" si="2"/>
        <v/>
      </c>
      <c r="J22" s="361" t="str">
        <f t="shared" si="3"/>
        <v/>
      </c>
      <c r="K22" s="200">
        <v>19</v>
      </c>
      <c r="L22" s="133">
        <f t="shared" si="4"/>
        <v>0</v>
      </c>
      <c r="M22" s="135" t="s">
        <v>5</v>
      </c>
      <c r="O22" s="244"/>
      <c r="P22" s="244"/>
      <c r="Q22" s="244"/>
      <c r="R22" s="244"/>
      <c r="S22" s="244"/>
      <c r="T22" s="244"/>
      <c r="U22" s="244"/>
      <c r="V22" s="244"/>
      <c r="W22" s="244"/>
      <c r="X22" s="244"/>
      <c r="Y22" s="244"/>
      <c r="Z22" s="244"/>
      <c r="AA22" s="244"/>
      <c r="AB22" s="244"/>
    </row>
    <row r="23" spans="1:28" ht="13.35" customHeight="1">
      <c r="A23" s="50" t="s">
        <v>5</v>
      </c>
      <c r="B23" s="141"/>
      <c r="C23" s="80"/>
      <c r="D23" s="94"/>
      <c r="E23" s="226"/>
      <c r="F23" s="89"/>
      <c r="G23" s="81"/>
      <c r="H23" s="82"/>
      <c r="I23" s="83" t="str">
        <f t="shared" si="2"/>
        <v/>
      </c>
      <c r="J23" s="361" t="str">
        <f t="shared" si="3"/>
        <v/>
      </c>
      <c r="K23" s="200">
        <v>20</v>
      </c>
      <c r="L23" s="133">
        <f t="shared" si="4"/>
        <v>0</v>
      </c>
      <c r="M23" s="135" t="s">
        <v>5</v>
      </c>
      <c r="O23" s="244"/>
      <c r="P23" s="244"/>
      <c r="Q23" s="244"/>
      <c r="R23" s="244"/>
      <c r="S23" s="244"/>
      <c r="T23" s="244"/>
      <c r="U23" s="244"/>
      <c r="V23" s="244"/>
      <c r="W23" s="244"/>
      <c r="X23" s="244"/>
      <c r="Y23" s="244"/>
      <c r="Z23" s="244"/>
      <c r="AA23" s="244"/>
      <c r="AB23" s="244"/>
    </row>
    <row r="24" spans="1:28" ht="13.35" customHeight="1">
      <c r="A24" s="50" t="s">
        <v>5</v>
      </c>
      <c r="B24" s="141"/>
      <c r="C24" s="80"/>
      <c r="D24" s="93"/>
      <c r="E24" s="226"/>
      <c r="F24" s="89"/>
      <c r="G24" s="81"/>
      <c r="H24" s="82"/>
      <c r="I24" s="83" t="str">
        <f t="shared" si="2"/>
        <v/>
      </c>
      <c r="J24" s="361" t="str">
        <f t="shared" si="3"/>
        <v/>
      </c>
      <c r="K24" s="200">
        <v>21</v>
      </c>
      <c r="L24" s="133">
        <f t="shared" si="4"/>
        <v>0</v>
      </c>
      <c r="M24" s="135" t="s">
        <v>5</v>
      </c>
      <c r="O24" s="244"/>
      <c r="P24" s="244"/>
      <c r="Q24" s="244"/>
      <c r="R24" s="244"/>
      <c r="S24" s="244"/>
      <c r="T24" s="244"/>
      <c r="U24" s="244"/>
      <c r="V24" s="244"/>
      <c r="W24" s="244"/>
      <c r="X24" s="244"/>
      <c r="Y24" s="244"/>
      <c r="Z24" s="244"/>
      <c r="AA24" s="244"/>
      <c r="AB24" s="244"/>
    </row>
    <row r="25" spans="1:28" ht="13.35" customHeight="1">
      <c r="A25" s="50" t="s">
        <v>5</v>
      </c>
      <c r="B25" s="141"/>
      <c r="C25" s="80"/>
      <c r="D25" s="93"/>
      <c r="E25" s="226"/>
      <c r="F25" s="89"/>
      <c r="G25" s="81"/>
      <c r="H25" s="82"/>
      <c r="I25" s="83" t="str">
        <f t="shared" si="2"/>
        <v/>
      </c>
      <c r="J25" s="361" t="str">
        <f t="shared" si="3"/>
        <v/>
      </c>
      <c r="K25" s="200">
        <v>22</v>
      </c>
      <c r="L25" s="133">
        <f t="shared" si="4"/>
        <v>0</v>
      </c>
      <c r="M25" s="135" t="s">
        <v>5</v>
      </c>
      <c r="O25" s="244"/>
      <c r="P25" s="244"/>
      <c r="Q25" s="244"/>
      <c r="R25" s="244"/>
      <c r="S25" s="244"/>
      <c r="T25" s="244"/>
      <c r="U25" s="244"/>
      <c r="V25" s="244"/>
      <c r="W25" s="244"/>
      <c r="X25" s="244"/>
      <c r="Y25" s="244"/>
      <c r="Z25" s="244"/>
      <c r="AA25" s="244"/>
      <c r="AB25" s="244"/>
    </row>
    <row r="26" spans="1:28" ht="13.35" customHeight="1">
      <c r="A26" s="50" t="s">
        <v>5</v>
      </c>
      <c r="B26" s="141"/>
      <c r="C26" s="80"/>
      <c r="D26" s="93"/>
      <c r="E26" s="226"/>
      <c r="F26" s="89"/>
      <c r="G26" s="81"/>
      <c r="H26" s="82"/>
      <c r="I26" s="83" t="str">
        <f t="shared" si="2"/>
        <v/>
      </c>
      <c r="J26" s="361" t="str">
        <f t="shared" si="3"/>
        <v/>
      </c>
      <c r="K26" s="200">
        <v>23</v>
      </c>
      <c r="L26" s="133">
        <f t="shared" si="4"/>
        <v>0</v>
      </c>
      <c r="M26" s="135" t="s">
        <v>5</v>
      </c>
      <c r="O26" s="244"/>
      <c r="P26" s="244"/>
      <c r="Q26" s="244"/>
      <c r="R26" s="244"/>
      <c r="S26" s="244"/>
      <c r="T26" s="244"/>
      <c r="U26" s="244"/>
      <c r="V26" s="244"/>
      <c r="W26" s="244"/>
      <c r="X26" s="244"/>
      <c r="Y26" s="244"/>
      <c r="Z26" s="244"/>
      <c r="AA26" s="244"/>
      <c r="AB26" s="244"/>
    </row>
    <row r="27" spans="1:28" ht="13.35" customHeight="1">
      <c r="A27" s="50" t="s">
        <v>5</v>
      </c>
      <c r="B27" s="141"/>
      <c r="C27" s="80"/>
      <c r="D27" s="93"/>
      <c r="E27" s="226"/>
      <c r="F27" s="89"/>
      <c r="G27" s="81"/>
      <c r="H27" s="82"/>
      <c r="I27" s="83" t="str">
        <f t="shared" si="2"/>
        <v/>
      </c>
      <c r="J27" s="361" t="str">
        <f t="shared" si="3"/>
        <v/>
      </c>
      <c r="K27" s="200">
        <v>24</v>
      </c>
      <c r="L27" s="133">
        <f t="shared" si="4"/>
        <v>0</v>
      </c>
      <c r="M27" s="135" t="s">
        <v>5</v>
      </c>
      <c r="O27" s="244"/>
      <c r="P27" s="244"/>
      <c r="Q27" s="244"/>
      <c r="R27" s="244"/>
      <c r="S27" s="244"/>
      <c r="T27" s="244"/>
      <c r="U27" s="244"/>
      <c r="V27" s="244"/>
      <c r="W27" s="244"/>
      <c r="X27" s="244"/>
      <c r="Y27" s="244"/>
      <c r="Z27" s="244"/>
      <c r="AA27" s="244"/>
      <c r="AB27" s="244"/>
    </row>
    <row r="28" spans="1:28" ht="13.35" customHeight="1">
      <c r="A28" s="50" t="s">
        <v>5</v>
      </c>
      <c r="B28" s="141"/>
      <c r="C28" s="80"/>
      <c r="D28" s="93"/>
      <c r="E28" s="226"/>
      <c r="F28" s="89"/>
      <c r="G28" s="81"/>
      <c r="H28" s="82"/>
      <c r="I28" s="83" t="str">
        <f t="shared" si="2"/>
        <v/>
      </c>
      <c r="J28" s="361" t="str">
        <f t="shared" si="3"/>
        <v/>
      </c>
      <c r="K28" s="200">
        <v>25</v>
      </c>
      <c r="L28" s="133">
        <f t="shared" si="4"/>
        <v>0</v>
      </c>
      <c r="M28" s="135" t="s">
        <v>5</v>
      </c>
      <c r="O28" s="244"/>
      <c r="P28" s="244"/>
      <c r="Q28" s="244"/>
      <c r="R28" s="244"/>
      <c r="S28" s="244"/>
      <c r="T28" s="244"/>
      <c r="U28" s="244"/>
      <c r="V28" s="244"/>
      <c r="W28" s="244"/>
      <c r="X28" s="244"/>
      <c r="Y28" s="244"/>
      <c r="Z28" s="244"/>
      <c r="AA28" s="244"/>
      <c r="AB28" s="244"/>
    </row>
    <row r="29" spans="1:28" ht="13.35" customHeight="1">
      <c r="A29" s="50" t="s">
        <v>5</v>
      </c>
      <c r="B29" s="141"/>
      <c r="C29" s="80"/>
      <c r="D29" s="93"/>
      <c r="E29" s="226"/>
      <c r="F29" s="89"/>
      <c r="G29" s="81"/>
      <c r="H29" s="82"/>
      <c r="I29" s="83" t="str">
        <f t="shared" si="2"/>
        <v/>
      </c>
      <c r="J29" s="361" t="str">
        <f t="shared" si="3"/>
        <v/>
      </c>
      <c r="K29" s="200">
        <v>26</v>
      </c>
      <c r="L29" s="133">
        <f t="shared" si="4"/>
        <v>0</v>
      </c>
      <c r="M29" s="135" t="s">
        <v>5</v>
      </c>
      <c r="O29" s="244"/>
      <c r="P29" s="244"/>
      <c r="Q29" s="244"/>
      <c r="R29" s="244"/>
      <c r="S29" s="244"/>
      <c r="T29" s="244"/>
      <c r="U29" s="244"/>
      <c r="V29" s="244"/>
      <c r="W29" s="244"/>
      <c r="X29" s="244"/>
      <c r="Y29" s="244"/>
      <c r="Z29" s="244"/>
      <c r="AA29" s="244"/>
      <c r="AB29" s="244"/>
    </row>
    <row r="30" spans="1:28" ht="13.35" customHeight="1">
      <c r="A30" s="50" t="s">
        <v>5</v>
      </c>
      <c r="B30" s="141"/>
      <c r="C30" s="80"/>
      <c r="D30" s="93"/>
      <c r="E30" s="226"/>
      <c r="F30" s="89"/>
      <c r="G30" s="81"/>
      <c r="H30" s="82"/>
      <c r="I30" s="83" t="str">
        <f t="shared" si="2"/>
        <v/>
      </c>
      <c r="J30" s="361" t="str">
        <f t="shared" si="3"/>
        <v/>
      </c>
      <c r="K30" s="200">
        <v>27</v>
      </c>
      <c r="L30" s="133">
        <f t="shared" si="4"/>
        <v>0</v>
      </c>
      <c r="M30" s="135" t="s">
        <v>5</v>
      </c>
      <c r="O30" s="244"/>
      <c r="P30" s="244"/>
      <c r="Q30" s="244"/>
      <c r="R30" s="244"/>
      <c r="S30" s="244"/>
      <c r="T30" s="244"/>
      <c r="U30" s="244"/>
      <c r="V30" s="244"/>
      <c r="W30" s="244"/>
      <c r="X30" s="244"/>
      <c r="Y30" s="244"/>
      <c r="Z30" s="244"/>
      <c r="AA30" s="244"/>
      <c r="AB30" s="244"/>
    </row>
    <row r="31" spans="1:28" ht="13.35" customHeight="1">
      <c r="A31" s="50" t="s">
        <v>5</v>
      </c>
      <c r="B31" s="141"/>
      <c r="C31" s="80"/>
      <c r="D31" s="93"/>
      <c r="E31" s="226"/>
      <c r="F31" s="89"/>
      <c r="G31" s="81"/>
      <c r="H31" s="82"/>
      <c r="I31" s="83" t="str">
        <f t="shared" si="2"/>
        <v/>
      </c>
      <c r="J31" s="361" t="str">
        <f t="shared" si="3"/>
        <v/>
      </c>
      <c r="K31" s="200">
        <v>28</v>
      </c>
      <c r="L31" s="133">
        <f t="shared" si="4"/>
        <v>0</v>
      </c>
      <c r="M31" s="135" t="s">
        <v>5</v>
      </c>
      <c r="O31" s="244"/>
      <c r="P31" s="244"/>
      <c r="Q31" s="244"/>
      <c r="R31" s="244"/>
      <c r="S31" s="244"/>
      <c r="T31" s="244"/>
      <c r="U31" s="244"/>
      <c r="V31" s="244"/>
      <c r="W31" s="244"/>
      <c r="X31" s="244"/>
      <c r="Y31" s="244"/>
      <c r="Z31" s="244"/>
      <c r="AA31" s="244"/>
      <c r="AB31" s="244"/>
    </row>
    <row r="32" spans="1:28" ht="13.35" customHeight="1">
      <c r="A32" s="50" t="s">
        <v>5</v>
      </c>
      <c r="B32" s="141"/>
      <c r="C32" s="80"/>
      <c r="D32" s="93"/>
      <c r="E32" s="226"/>
      <c r="F32" s="89"/>
      <c r="G32" s="81"/>
      <c r="H32" s="82"/>
      <c r="I32" s="83" t="str">
        <f t="shared" si="2"/>
        <v/>
      </c>
      <c r="J32" s="361" t="str">
        <f t="shared" si="3"/>
        <v/>
      </c>
      <c r="K32" s="200">
        <v>29</v>
      </c>
      <c r="L32" s="133">
        <f t="shared" si="4"/>
        <v>0</v>
      </c>
      <c r="M32" s="135" t="s">
        <v>5</v>
      </c>
      <c r="O32" s="244"/>
      <c r="P32" s="244"/>
      <c r="Q32" s="244"/>
      <c r="R32" s="244"/>
      <c r="S32" s="244"/>
      <c r="T32" s="244"/>
      <c r="U32" s="244"/>
      <c r="V32" s="244"/>
      <c r="W32" s="244"/>
      <c r="X32" s="244"/>
      <c r="Y32" s="244"/>
      <c r="Z32" s="244"/>
      <c r="AA32" s="244"/>
      <c r="AB32" s="244"/>
    </row>
    <row r="33" spans="1:28" ht="13.35" customHeight="1">
      <c r="A33" s="50" t="s">
        <v>5</v>
      </c>
      <c r="B33" s="141"/>
      <c r="C33" s="80"/>
      <c r="D33" s="93"/>
      <c r="E33" s="226"/>
      <c r="F33" s="89"/>
      <c r="G33" s="81"/>
      <c r="H33" s="82"/>
      <c r="I33" s="83" t="str">
        <f t="shared" si="2"/>
        <v/>
      </c>
      <c r="J33" s="361" t="str">
        <f t="shared" si="3"/>
        <v/>
      </c>
      <c r="K33" s="200">
        <v>30</v>
      </c>
      <c r="L33" s="133">
        <f t="shared" si="4"/>
        <v>0</v>
      </c>
      <c r="M33" s="135" t="s">
        <v>5</v>
      </c>
      <c r="O33" s="244"/>
      <c r="P33" s="244"/>
      <c r="Q33" s="244"/>
      <c r="R33" s="244"/>
      <c r="S33" s="244"/>
      <c r="T33" s="244"/>
      <c r="U33" s="244"/>
      <c r="V33" s="244"/>
      <c r="W33" s="244"/>
      <c r="X33" s="244"/>
      <c r="Y33" s="244"/>
      <c r="Z33" s="244"/>
      <c r="AA33" s="244"/>
      <c r="AB33" s="244"/>
    </row>
    <row r="34" spans="1:28" ht="13.35" customHeight="1">
      <c r="A34" s="50" t="s">
        <v>5</v>
      </c>
      <c r="B34" s="141"/>
      <c r="C34" s="80"/>
      <c r="D34" s="93"/>
      <c r="E34" s="226"/>
      <c r="F34" s="89"/>
      <c r="G34" s="81"/>
      <c r="H34" s="82"/>
      <c r="I34" s="83" t="str">
        <f t="shared" si="2"/>
        <v/>
      </c>
      <c r="J34" s="361" t="str">
        <f t="shared" si="3"/>
        <v/>
      </c>
      <c r="K34" s="200">
        <v>31</v>
      </c>
      <c r="L34" s="133">
        <f t="shared" si="4"/>
        <v>0</v>
      </c>
      <c r="M34" s="135" t="s">
        <v>5</v>
      </c>
      <c r="O34" s="244"/>
      <c r="P34" s="244"/>
      <c r="Q34" s="244"/>
      <c r="R34" s="244"/>
      <c r="S34" s="244"/>
      <c r="T34" s="244"/>
      <c r="U34" s="244"/>
      <c r="V34" s="244"/>
      <c r="W34" s="244"/>
      <c r="X34" s="244"/>
      <c r="Y34" s="244"/>
      <c r="Z34" s="244"/>
      <c r="AA34" s="244"/>
      <c r="AB34" s="244"/>
    </row>
    <row r="35" spans="1:28" ht="13.35" customHeight="1">
      <c r="A35" s="50" t="s">
        <v>5</v>
      </c>
      <c r="B35" s="141"/>
      <c r="C35" s="80"/>
      <c r="D35" s="93"/>
      <c r="E35" s="226"/>
      <c r="F35" s="89"/>
      <c r="G35" s="81"/>
      <c r="H35" s="82"/>
      <c r="I35" s="83" t="str">
        <f t="shared" si="2"/>
        <v/>
      </c>
      <c r="J35" s="361" t="str">
        <f t="shared" si="3"/>
        <v/>
      </c>
      <c r="K35" s="200">
        <v>32</v>
      </c>
      <c r="L35" s="133">
        <f t="shared" si="4"/>
        <v>0</v>
      </c>
      <c r="M35" s="135" t="s">
        <v>5</v>
      </c>
      <c r="O35" s="244"/>
      <c r="P35" s="244"/>
      <c r="Q35" s="244"/>
      <c r="R35" s="244"/>
      <c r="S35" s="244"/>
      <c r="T35" s="244"/>
      <c r="U35" s="244"/>
      <c r="V35" s="244"/>
      <c r="W35" s="244"/>
      <c r="X35" s="244"/>
      <c r="Y35" s="244"/>
      <c r="Z35" s="244"/>
      <c r="AA35" s="244"/>
      <c r="AB35" s="244"/>
    </row>
    <row r="36" spans="1:28" ht="13.35" customHeight="1">
      <c r="A36" s="50" t="s">
        <v>5</v>
      </c>
      <c r="B36" s="141"/>
      <c r="C36" s="80"/>
      <c r="D36" s="93"/>
      <c r="E36" s="226"/>
      <c r="F36" s="89"/>
      <c r="G36" s="81"/>
      <c r="H36" s="82"/>
      <c r="I36" s="83" t="str">
        <f t="shared" si="2"/>
        <v/>
      </c>
      <c r="J36" s="361" t="str">
        <f t="shared" si="3"/>
        <v/>
      </c>
      <c r="K36" s="200">
        <v>33</v>
      </c>
      <c r="L36" s="133">
        <f t="shared" si="4"/>
        <v>0</v>
      </c>
      <c r="M36" s="135" t="s">
        <v>5</v>
      </c>
      <c r="O36" s="244"/>
      <c r="P36" s="244"/>
      <c r="Q36" s="244"/>
      <c r="R36" s="244"/>
      <c r="S36" s="244"/>
      <c r="T36" s="244"/>
      <c r="U36" s="244"/>
      <c r="V36" s="244"/>
      <c r="W36" s="244"/>
      <c r="X36" s="244"/>
      <c r="Y36" s="244"/>
      <c r="Z36" s="244"/>
      <c r="AA36" s="244"/>
      <c r="AB36" s="244"/>
    </row>
    <row r="37" spans="1:28" ht="13.35" customHeight="1">
      <c r="A37" s="50" t="s">
        <v>5</v>
      </c>
      <c r="B37" s="141"/>
      <c r="C37" s="80"/>
      <c r="D37" s="93"/>
      <c r="E37" s="226"/>
      <c r="F37" s="89"/>
      <c r="G37" s="81"/>
      <c r="H37" s="82"/>
      <c r="I37" s="83" t="str">
        <f t="shared" si="2"/>
        <v/>
      </c>
      <c r="J37" s="361" t="str">
        <f t="shared" si="3"/>
        <v/>
      </c>
      <c r="K37" s="200">
        <v>34</v>
      </c>
      <c r="L37" s="133">
        <f t="shared" si="4"/>
        <v>0</v>
      </c>
      <c r="M37" s="135" t="s">
        <v>5</v>
      </c>
      <c r="O37" s="244"/>
      <c r="P37" s="244"/>
      <c r="Q37" s="244"/>
      <c r="R37" s="244"/>
      <c r="S37" s="244"/>
      <c r="T37" s="244"/>
      <c r="U37" s="244"/>
      <c r="V37" s="244"/>
      <c r="W37" s="244"/>
      <c r="X37" s="244"/>
      <c r="Y37" s="244"/>
      <c r="Z37" s="244"/>
      <c r="AA37" s="244"/>
      <c r="AB37" s="244"/>
    </row>
    <row r="38" spans="1:28" ht="13.35" customHeight="1">
      <c r="A38" s="50" t="s">
        <v>5</v>
      </c>
      <c r="B38" s="141"/>
      <c r="C38" s="80"/>
      <c r="D38" s="93"/>
      <c r="E38" s="226"/>
      <c r="F38" s="89"/>
      <c r="G38" s="81"/>
      <c r="H38" s="82"/>
      <c r="I38" s="83" t="str">
        <f t="shared" si="2"/>
        <v/>
      </c>
      <c r="J38" s="361" t="str">
        <f t="shared" si="3"/>
        <v/>
      </c>
      <c r="K38" s="200">
        <v>35</v>
      </c>
      <c r="L38" s="133">
        <f t="shared" si="4"/>
        <v>0</v>
      </c>
      <c r="M38" s="135" t="s">
        <v>5</v>
      </c>
      <c r="O38" s="244"/>
      <c r="P38" s="244"/>
      <c r="Q38" s="244"/>
      <c r="R38" s="244"/>
      <c r="S38" s="244"/>
      <c r="T38" s="244"/>
      <c r="U38" s="244"/>
      <c r="V38" s="244"/>
      <c r="W38" s="244"/>
      <c r="X38" s="244"/>
      <c r="Y38" s="244"/>
      <c r="Z38" s="244"/>
      <c r="AA38" s="244"/>
      <c r="AB38" s="244"/>
    </row>
    <row r="39" spans="1:28" ht="13.35" customHeight="1">
      <c r="A39" s="50" t="s">
        <v>5</v>
      </c>
      <c r="B39" s="141"/>
      <c r="C39" s="80"/>
      <c r="D39" s="93"/>
      <c r="E39" s="226"/>
      <c r="F39" s="89"/>
      <c r="G39" s="81"/>
      <c r="H39" s="82"/>
      <c r="I39" s="83" t="str">
        <f t="shared" si="2"/>
        <v/>
      </c>
      <c r="J39" s="361" t="str">
        <f t="shared" si="3"/>
        <v/>
      </c>
      <c r="K39" s="200">
        <v>36</v>
      </c>
      <c r="L39" s="133">
        <f t="shared" si="4"/>
        <v>0</v>
      </c>
      <c r="M39" s="135" t="s">
        <v>5</v>
      </c>
      <c r="O39" s="244"/>
      <c r="P39" s="244"/>
      <c r="Q39" s="244"/>
      <c r="R39" s="244"/>
      <c r="S39" s="244"/>
      <c r="T39" s="244"/>
      <c r="U39" s="244"/>
      <c r="V39" s="244"/>
      <c r="W39" s="244"/>
      <c r="X39" s="244"/>
      <c r="Y39" s="244"/>
      <c r="Z39" s="244"/>
      <c r="AA39" s="244"/>
      <c r="AB39" s="244"/>
    </row>
    <row r="40" spans="1:28" ht="13.35" customHeight="1">
      <c r="A40" s="50" t="s">
        <v>5</v>
      </c>
      <c r="B40" s="141"/>
      <c r="C40" s="80"/>
      <c r="D40" s="93"/>
      <c r="E40" s="226"/>
      <c r="F40" s="89"/>
      <c r="G40" s="81"/>
      <c r="H40" s="82"/>
      <c r="I40" s="83" t="str">
        <f t="shared" si="2"/>
        <v/>
      </c>
      <c r="J40" s="361" t="str">
        <f t="shared" si="3"/>
        <v/>
      </c>
      <c r="K40" s="200">
        <v>37</v>
      </c>
      <c r="L40" s="133">
        <f t="shared" si="4"/>
        <v>0</v>
      </c>
      <c r="M40" s="135" t="s">
        <v>5</v>
      </c>
      <c r="O40" s="244"/>
      <c r="P40" s="244"/>
      <c r="Q40" s="244"/>
      <c r="R40" s="244"/>
      <c r="S40" s="244"/>
      <c r="T40" s="244"/>
      <c r="U40" s="244"/>
      <c r="V40" s="244"/>
      <c r="W40" s="244"/>
      <c r="X40" s="244"/>
      <c r="Y40" s="244"/>
      <c r="Z40" s="244"/>
      <c r="AA40" s="244"/>
      <c r="AB40" s="244"/>
    </row>
    <row r="41" spans="1:28" ht="13.35" customHeight="1">
      <c r="A41" s="50" t="s">
        <v>5</v>
      </c>
      <c r="B41" s="141"/>
      <c r="C41" s="80"/>
      <c r="D41" s="93"/>
      <c r="E41" s="226"/>
      <c r="F41" s="89"/>
      <c r="G41" s="81"/>
      <c r="H41" s="82"/>
      <c r="I41" s="83" t="str">
        <f t="shared" si="2"/>
        <v/>
      </c>
      <c r="J41" s="361" t="str">
        <f t="shared" si="3"/>
        <v/>
      </c>
      <c r="K41" s="200">
        <v>38</v>
      </c>
      <c r="L41" s="133">
        <f t="shared" si="4"/>
        <v>0</v>
      </c>
      <c r="M41" s="135" t="s">
        <v>5</v>
      </c>
      <c r="O41" s="244"/>
      <c r="P41" s="244"/>
      <c r="Q41" s="244"/>
      <c r="R41" s="244"/>
      <c r="S41" s="244"/>
      <c r="T41" s="244"/>
      <c r="U41" s="244"/>
      <c r="V41" s="244"/>
      <c r="W41" s="244"/>
      <c r="X41" s="244"/>
      <c r="Y41" s="244"/>
      <c r="Z41" s="244"/>
      <c r="AA41" s="244"/>
      <c r="AB41" s="244"/>
    </row>
    <row r="42" spans="1:28" ht="13.35" customHeight="1">
      <c r="A42" s="50" t="s">
        <v>5</v>
      </c>
      <c r="B42" s="141"/>
      <c r="C42" s="80"/>
      <c r="D42" s="93"/>
      <c r="E42" s="226"/>
      <c r="F42" s="89"/>
      <c r="G42" s="81"/>
      <c r="H42" s="82"/>
      <c r="I42" s="83" t="str">
        <f t="shared" si="2"/>
        <v/>
      </c>
      <c r="J42" s="361" t="str">
        <f t="shared" si="3"/>
        <v/>
      </c>
      <c r="K42" s="200">
        <v>39</v>
      </c>
      <c r="L42" s="133">
        <f t="shared" si="4"/>
        <v>0</v>
      </c>
      <c r="M42" s="135" t="s">
        <v>5</v>
      </c>
      <c r="O42" s="244"/>
      <c r="P42" s="244"/>
      <c r="Q42" s="244"/>
      <c r="R42" s="244"/>
      <c r="S42" s="244"/>
      <c r="T42" s="244"/>
      <c r="U42" s="244"/>
      <c r="V42" s="244"/>
      <c r="W42" s="244"/>
      <c r="X42" s="244"/>
      <c r="Y42" s="244"/>
      <c r="Z42" s="244"/>
      <c r="AA42" s="244"/>
      <c r="AB42" s="244"/>
    </row>
    <row r="43" spans="1:28" ht="13.35" customHeight="1">
      <c r="A43" s="50" t="s">
        <v>5</v>
      </c>
      <c r="B43" s="141"/>
      <c r="C43" s="80"/>
      <c r="D43" s="93"/>
      <c r="E43" s="226"/>
      <c r="F43" s="89"/>
      <c r="G43" s="81"/>
      <c r="H43" s="82"/>
      <c r="I43" s="83" t="str">
        <f t="shared" si="2"/>
        <v/>
      </c>
      <c r="J43" s="361" t="str">
        <f t="shared" si="3"/>
        <v/>
      </c>
      <c r="K43" s="200">
        <v>40</v>
      </c>
      <c r="L43" s="133">
        <f t="shared" si="4"/>
        <v>0</v>
      </c>
      <c r="M43" s="135" t="s">
        <v>5</v>
      </c>
      <c r="O43" s="244"/>
      <c r="P43" s="244"/>
      <c r="Q43" s="244"/>
      <c r="R43" s="244"/>
      <c r="S43" s="244"/>
      <c r="T43" s="244"/>
      <c r="U43" s="244"/>
      <c r="V43" s="244"/>
      <c r="W43" s="244"/>
      <c r="X43" s="244"/>
      <c r="Y43" s="244"/>
      <c r="Z43" s="244"/>
      <c r="AA43" s="244"/>
      <c r="AB43" s="244"/>
    </row>
    <row r="44" spans="1:28" ht="13.35" customHeight="1">
      <c r="A44" s="50" t="s">
        <v>5</v>
      </c>
      <c r="B44" s="141"/>
      <c r="C44" s="80"/>
      <c r="D44" s="93"/>
      <c r="E44" s="226"/>
      <c r="F44" s="89"/>
      <c r="G44" s="81"/>
      <c r="H44" s="82"/>
      <c r="I44" s="83" t="str">
        <f t="shared" si="2"/>
        <v/>
      </c>
      <c r="J44" s="361" t="str">
        <f t="shared" si="3"/>
        <v/>
      </c>
      <c r="K44" s="200">
        <v>41</v>
      </c>
      <c r="L44" s="133">
        <f t="shared" si="4"/>
        <v>0</v>
      </c>
      <c r="M44" s="135" t="s">
        <v>5</v>
      </c>
      <c r="O44" s="244"/>
      <c r="P44" s="244"/>
      <c r="Q44" s="244"/>
      <c r="R44" s="244"/>
      <c r="S44" s="244"/>
      <c r="T44" s="244"/>
      <c r="U44" s="244"/>
      <c r="V44" s="244"/>
      <c r="W44" s="244"/>
      <c r="X44" s="244"/>
      <c r="Y44" s="244"/>
      <c r="Z44" s="244"/>
      <c r="AA44" s="244"/>
      <c r="AB44" s="244"/>
    </row>
    <row r="45" spans="1:28" ht="13.35" customHeight="1">
      <c r="A45" s="50" t="s">
        <v>5</v>
      </c>
      <c r="B45" s="141"/>
      <c r="C45" s="80"/>
      <c r="D45" s="93"/>
      <c r="E45" s="226"/>
      <c r="F45" s="89"/>
      <c r="G45" s="81"/>
      <c r="H45" s="82"/>
      <c r="I45" s="83" t="str">
        <f t="shared" ref="I45:I46" si="7">IF(G45&lt;&gt;"",+G45-G45/(1+H45/100),"")</f>
        <v/>
      </c>
      <c r="J45" s="361" t="str">
        <f t="shared" ref="J45:J46" si="8">IF(G45&lt;&gt;0,+G45-I45,"")</f>
        <v/>
      </c>
      <c r="K45" s="200">
        <v>44</v>
      </c>
      <c r="L45" s="133">
        <f t="shared" ref="L45:L46" si="9">IF(B45&lt;$O$2,0,IF(B45&lt;$P$2,1,IF(B45&lt;$Q$2,2,IF(B45&lt;$R$2,3,IF(B45&lt;$S$2,4,IF(B45&lt;$T$2,5,IF(B45&lt;$U$2,6,IF(B45&lt;$V$2,7,IF(B45&lt;$W$2,8,IF(B45&lt;$X$2,9,IF(B45&lt;$Y$2,10,IF(B45&lt;$Z$2,11,IF(B45&lt;=$Z$3,12,0)))))))))))))</f>
        <v>0</v>
      </c>
      <c r="M45" s="135" t="s">
        <v>5</v>
      </c>
      <c r="O45" s="244"/>
      <c r="P45" s="244"/>
      <c r="Q45" s="244"/>
      <c r="R45" s="244"/>
      <c r="S45" s="244"/>
      <c r="T45" s="244"/>
      <c r="U45" s="244"/>
      <c r="V45" s="244"/>
      <c r="W45" s="244"/>
      <c r="X45" s="244"/>
      <c r="Y45" s="244"/>
      <c r="Z45" s="244"/>
      <c r="AA45" s="244"/>
      <c r="AB45" s="244"/>
    </row>
    <row r="46" spans="1:28" ht="13.35" customHeight="1" thickBot="1">
      <c r="A46" s="50" t="s">
        <v>5</v>
      </c>
      <c r="B46" s="141"/>
      <c r="C46" s="80"/>
      <c r="D46" s="93"/>
      <c r="E46" s="226"/>
      <c r="F46" s="89"/>
      <c r="G46" s="81"/>
      <c r="H46" s="82"/>
      <c r="I46" s="83" t="str">
        <f t="shared" si="7"/>
        <v/>
      </c>
      <c r="J46" s="361" t="str">
        <f t="shared" si="8"/>
        <v/>
      </c>
      <c r="K46" s="200">
        <v>45</v>
      </c>
      <c r="L46" s="133">
        <f t="shared" si="9"/>
        <v>0</v>
      </c>
      <c r="M46" s="135" t="s">
        <v>5</v>
      </c>
      <c r="O46" s="244"/>
      <c r="P46" s="244"/>
      <c r="Q46" s="244"/>
      <c r="R46" s="244"/>
      <c r="S46" s="244"/>
      <c r="T46" s="244"/>
      <c r="U46" s="244"/>
      <c r="V46" s="244"/>
      <c r="W46" s="244"/>
      <c r="X46" s="244"/>
      <c r="Y46" s="244"/>
      <c r="Z46" s="244"/>
      <c r="AA46" s="244"/>
      <c r="AB46" s="244"/>
    </row>
    <row r="47" spans="1:28" ht="12" customHeight="1" thickTop="1" thickBot="1">
      <c r="A47" s="391" t="s">
        <v>283</v>
      </c>
      <c r="B47" s="1244" t="str">
        <f>IF($A$48=0,"^ Zeile einfügen","bis hierher ziehen!")</f>
        <v>^ Zeile einfügen</v>
      </c>
      <c r="C47" s="1244"/>
      <c r="D47" s="392" t="s">
        <v>5</v>
      </c>
      <c r="E47" s="393" t="s">
        <v>5</v>
      </c>
      <c r="F47" s="394" t="s">
        <v>5</v>
      </c>
      <c r="G47" s="394"/>
      <c r="H47" s="395"/>
      <c r="I47" s="396"/>
      <c r="J47" s="425"/>
      <c r="K47" s="201">
        <v>0</v>
      </c>
      <c r="L47" s="185" t="s">
        <v>5</v>
      </c>
      <c r="M47" s="398" t="s">
        <v>283</v>
      </c>
    </row>
    <row r="48" spans="1:28" ht="12" customHeight="1" thickTop="1" thickBot="1">
      <c r="A48" s="390">
        <f>COUNTBLANK(A3:A47)+A49</f>
        <v>0</v>
      </c>
      <c r="B48" s="193" t="str">
        <f>+EÜR!C48</f>
        <v>ü</v>
      </c>
      <c r="C48" s="194" t="s">
        <v>5</v>
      </c>
      <c r="D48" s="194" t="s">
        <v>5</v>
      </c>
      <c r="E48" s="195" t="s">
        <v>5</v>
      </c>
      <c r="F48" s="196" t="s">
        <v>5</v>
      </c>
      <c r="G48" s="197">
        <f>SUBTOTAL(9,G3:G47)</f>
        <v>0</v>
      </c>
      <c r="H48" s="1242">
        <f>SUBTOTAL(9,I3:I47)</f>
        <v>0</v>
      </c>
      <c r="I48" s="1243">
        <f>SUBTOTAL(9,I3:I47)</f>
        <v>0</v>
      </c>
      <c r="J48" s="1293">
        <f>G48-H48</f>
        <v>0</v>
      </c>
      <c r="K48" s="1294"/>
      <c r="L48" s="1295"/>
      <c r="M48" s="135" t="s">
        <v>5</v>
      </c>
    </row>
    <row r="49" spans="1:14" ht="12" customHeight="1" thickTop="1" thickBot="1">
      <c r="A49" s="390">
        <f>IF(ISERROR(J47),1,0)</f>
        <v>0</v>
      </c>
      <c r="B49" s="192">
        <f>J48-G49-E49-C49</f>
        <v>0</v>
      </c>
      <c r="C49" s="1239">
        <f>SUMIF(F4:F47,"Kreditkarte",G4:G47)</f>
        <v>0</v>
      </c>
      <c r="D49" s="1239"/>
      <c r="E49" s="1240">
        <f>SUMIF(F4:F47,"Konto",G4:G47)</f>
        <v>0</v>
      </c>
      <c r="F49" s="1240"/>
      <c r="G49" s="1241">
        <f>SUMIF(F4:F47,"Geldbeutel",G4:G47)</f>
        <v>0</v>
      </c>
      <c r="H49" s="1241"/>
      <c r="I49" s="1241"/>
      <c r="J49" s="1296"/>
      <c r="K49" s="1297"/>
      <c r="L49" s="1298"/>
      <c r="M49" s="135" t="s">
        <v>5</v>
      </c>
    </row>
    <row r="50" spans="1:14" s="15" customFormat="1" ht="5.25" customHeight="1" thickTop="1">
      <c r="A50" s="36"/>
      <c r="B50" s="2"/>
      <c r="C50" s="3"/>
      <c r="D50" s="3"/>
      <c r="E50" s="1"/>
      <c r="G50" s="16"/>
      <c r="H50" s="16"/>
      <c r="I50" s="17"/>
      <c r="J50" s="18"/>
      <c r="K50" s="18"/>
      <c r="L50" s="31"/>
      <c r="N50" s="148"/>
    </row>
    <row r="51" spans="1:14">
      <c r="A51" s="36"/>
    </row>
  </sheetData>
  <sheetProtection formatCells="0" insertRows="0" deleteRows="0" selectLockedCells="1" sort="0" autoFilter="0"/>
  <mergeCells count="15">
    <mergeCell ref="AA4:AB4"/>
    <mergeCell ref="C2:I2"/>
    <mergeCell ref="J2:L2"/>
    <mergeCell ref="J48:L49"/>
    <mergeCell ref="C49:D49"/>
    <mergeCell ref="E49:F49"/>
    <mergeCell ref="G49:I49"/>
    <mergeCell ref="H48:I48"/>
    <mergeCell ref="AA9:AB9"/>
    <mergeCell ref="O10:Z10"/>
    <mergeCell ref="O11:Z11"/>
    <mergeCell ref="AA13:AB13"/>
    <mergeCell ref="O14:Z14"/>
    <mergeCell ref="AA14:AB14"/>
    <mergeCell ref="B47:C47"/>
  </mergeCells>
  <conditionalFormatting sqref="A4:A46">
    <cfRule type="expression" dxfId="404" priority="16">
      <formula>ISERROR(J4)</formula>
    </cfRule>
    <cfRule type="cellIs" dxfId="403" priority="17" operator="equal">
      <formula>""</formula>
    </cfRule>
  </conditionalFormatting>
  <conditionalFormatting sqref="A47:C47">
    <cfRule type="expression" dxfId="402" priority="7">
      <formula>$A$48&lt;&gt;0</formula>
    </cfRule>
  </conditionalFormatting>
  <conditionalFormatting sqref="B2">
    <cfRule type="expression" dxfId="401" priority="43" stopIfTrue="1">
      <formula>$B$48="x"</formula>
    </cfRule>
  </conditionalFormatting>
  <conditionalFormatting sqref="B4:B46">
    <cfRule type="cellIs" dxfId="398" priority="30" operator="equal">
      <formula>""</formula>
    </cfRule>
  </conditionalFormatting>
  <conditionalFormatting sqref="B48">
    <cfRule type="cellIs" dxfId="397" priority="66" operator="equal">
      <formula>"y"</formula>
    </cfRule>
  </conditionalFormatting>
  <conditionalFormatting sqref="B3:J3">
    <cfRule type="expression" dxfId="396" priority="9287">
      <formula>$B$48="x"</formula>
    </cfRule>
  </conditionalFormatting>
  <conditionalFormatting sqref="B4:J46">
    <cfRule type="expression" dxfId="395" priority="26">
      <formula>$B$1="x"</formula>
    </cfRule>
  </conditionalFormatting>
  <conditionalFormatting sqref="B3:L3">
    <cfRule type="expression" dxfId="394" priority="60">
      <formula>$B$48="x"</formula>
    </cfRule>
  </conditionalFormatting>
  <conditionalFormatting sqref="C4:D46">
    <cfRule type="expression" dxfId="393" priority="33">
      <formula>AND($B4&lt;&gt;"",$C4="")</formula>
    </cfRule>
  </conditionalFormatting>
  <conditionalFormatting sqref="C49:I49">
    <cfRule type="cellIs" dxfId="392" priority="65" stopIfTrue="1" operator="lessThan">
      <formula>0</formula>
    </cfRule>
    <cfRule type="cellIs" dxfId="391" priority="63" stopIfTrue="1" operator="greaterThanOrEqual">
      <formula>0</formula>
    </cfRule>
  </conditionalFormatting>
  <conditionalFormatting sqref="D47:J47">
    <cfRule type="expression" dxfId="390" priority="9">
      <formula>$A$48&lt;&gt;0</formula>
    </cfRule>
  </conditionalFormatting>
  <conditionalFormatting sqref="H4:H46">
    <cfRule type="expression" dxfId="389" priority="29">
      <formula>AND(G4&lt;&gt;"",H4="",$I$1&lt;&gt;"x")</formula>
    </cfRule>
  </conditionalFormatting>
  <conditionalFormatting sqref="H4:I46">
    <cfRule type="expression" dxfId="388" priority="27">
      <formula>AND($I4&lt;&gt;0,$I$1&lt;&gt;"ü")</formula>
    </cfRule>
    <cfRule type="expression" dxfId="387" priority="28">
      <formula>$I$1&lt;&gt;"ü"</formula>
    </cfRule>
  </conditionalFormatting>
  <conditionalFormatting sqref="J48:L48 C49:L49 C48:H48">
    <cfRule type="expression" dxfId="385" priority="62">
      <formula>$B$48="x"</formula>
    </cfRule>
  </conditionalFormatting>
  <conditionalFormatting sqref="J48:L49">
    <cfRule type="expression" dxfId="384" priority="61">
      <formula>AND($B$48="x",$J$48&lt;&gt;0)</formula>
    </cfRule>
  </conditionalFormatting>
  <conditionalFormatting sqref="K4:L46">
    <cfRule type="expression" dxfId="383" priority="15482">
      <formula>$B$48="x"</formula>
    </cfRule>
  </conditionalFormatting>
  <conditionalFormatting sqref="M3">
    <cfRule type="cellIs" dxfId="382" priority="25" operator="equal">
      <formula>""</formula>
    </cfRule>
  </conditionalFormatting>
  <conditionalFormatting sqref="M4:M46">
    <cfRule type="expression" dxfId="381" priority="23">
      <formula>ISERROR(J4)</formula>
    </cfRule>
    <cfRule type="cellIs" dxfId="380" priority="24" operator="equal">
      <formula>""</formula>
    </cfRule>
  </conditionalFormatting>
  <conditionalFormatting sqref="M47">
    <cfRule type="expression" dxfId="379" priority="8">
      <formula>$A$48&lt;&gt;0</formula>
    </cfRule>
  </conditionalFormatting>
  <conditionalFormatting sqref="M47:M49">
    <cfRule type="cellIs" dxfId="378" priority="11" operator="equal">
      <formula>""</formula>
    </cfRule>
  </conditionalFormatting>
  <conditionalFormatting sqref="N10:AB10">
    <cfRule type="expression" dxfId="377" priority="6">
      <formula>$N$2=0</formula>
    </cfRule>
  </conditionalFormatting>
  <conditionalFormatting sqref="O11:Z11">
    <cfRule type="cellIs" dxfId="376" priority="47" operator="equal">
      <formula>"Fehler!"</formula>
    </cfRule>
  </conditionalFormatting>
  <conditionalFormatting sqref="O4:AA4">
    <cfRule type="expression" dxfId="372" priority="42">
      <formula>$N$2=0</formula>
    </cfRule>
  </conditionalFormatting>
  <conditionalFormatting sqref="O2:AB3">
    <cfRule type="expression" dxfId="370" priority="1">
      <formula>$N$2=0</formula>
    </cfRule>
  </conditionalFormatting>
  <conditionalFormatting sqref="O5:AB8 O9:AA9">
    <cfRule type="expression" dxfId="369" priority="46">
      <formula>$N$2=0</formula>
    </cfRule>
  </conditionalFormatting>
  <conditionalFormatting sqref="O11:AB14">
    <cfRule type="expression" dxfId="368" priority="3">
      <formula>$N$2=0</formula>
    </cfRule>
  </conditionalFormatting>
  <conditionalFormatting sqref="O47:AB49">
    <cfRule type="expression" dxfId="367" priority="10">
      <formula>$N$2=0</formula>
    </cfRule>
  </conditionalFormatting>
  <dataValidations count="2">
    <dataValidation type="list" allowBlank="1" showInputMessage="1" showErrorMessage="1" sqref="F4:F46" xr:uid="{8025F44F-EC4C-456D-B61F-9ADBEBCB8C02}">
      <formula1>"Konto,Geldbeutel,Kreditkarte,x"</formula1>
    </dataValidation>
    <dataValidation type="list" allowBlank="1" showInputMessage="1" showErrorMessage="1" sqref="H4:H46" xr:uid="{12C73C89-E8CE-4EBD-ACB0-B88F6FF9D6FC}">
      <formula1>"19,7,0,~"</formula1>
    </dataValidation>
  </dataValidations>
  <hyperlinks>
    <hyperlink ref="J2" location="'2022 EÜR'!A1" display="Menü" xr:uid="{61C2B9C4-F379-4C8A-B992-2445194AF320}"/>
    <hyperlink ref="J2:L2" location="EÜR!A1" display="EÜR" xr:uid="{339FFFD4-9B69-4698-A40D-F88C756DD420}"/>
  </hyperlinks>
  <printOptions horizontalCentered="1"/>
  <pageMargins left="0" right="0" top="0" bottom="0.31496062992125984" header="0" footer="0"/>
  <pageSetup paperSize="9" orientation="portrait" r:id="rId1"/>
  <headerFooter>
    <oddFooter>&amp;L&amp;"Arial,Standard"&amp;8Datei: &amp;Z&amp;F/&amp;A&amp;C&amp;"Arial,Standard"&amp;8Seite &amp;P von &amp;N&amp;R&amp;"Arial,Standard"&amp;8Druck: &amp;D&amp;T Uhr</oddFooter>
  </headerFooter>
  <extLst>
    <ext xmlns:x14="http://schemas.microsoft.com/office/spreadsheetml/2009/9/main" uri="{78C0D931-6437-407d-A8EE-F0AAD7539E65}">
      <x14:conditionalFormattings>
        <x14:conditionalFormatting xmlns:xm="http://schemas.microsoft.com/office/excel/2006/main">
          <x14:cfRule type="cellIs" priority="31" operator="greaterThan" id="{50B3BB9F-7B9D-4DF4-A789-D5CF1E069D42}">
            <xm:f>EÜR!$I$78</xm:f>
            <x14:dxf>
              <font>
                <b/>
                <i val="0"/>
                <color rgb="FFFFFF00"/>
              </font>
              <fill>
                <patternFill>
                  <bgColor rgb="FFC00000"/>
                </patternFill>
              </fill>
            </x14:dxf>
          </x14:cfRule>
          <x14:cfRule type="cellIs" priority="32" operator="lessThan" id="{883A4802-DCF6-42C6-9F92-F70DAF04DDF9}">
            <xm:f>EÜR!$I$77</xm:f>
            <x14:dxf>
              <font>
                <b/>
                <i val="0"/>
                <color rgb="FFFFFF00"/>
              </font>
              <fill>
                <patternFill>
                  <bgColor rgb="FFC00000"/>
                </patternFill>
              </fill>
            </x14:dxf>
          </x14:cfRule>
          <xm:sqref>B4:B46</xm:sqref>
        </x14:conditionalFormatting>
        <x14:conditionalFormatting xmlns:xm="http://schemas.microsoft.com/office/excel/2006/main">
          <x14:cfRule type="expression" priority="44" id="{AB3F0786-DCD5-47DA-8A15-12563AB29B72}">
            <xm:f>AND(EÜR!$J$66&lt;&gt;"ü",$H$48&lt;&gt;0)</xm:f>
            <x14:dxf>
              <font>
                <b/>
                <i val="0"/>
                <color rgb="FFFFFF00"/>
              </font>
              <fill>
                <patternFill>
                  <bgColor rgb="FFFF0000"/>
                </patternFill>
              </fill>
            </x14:dxf>
          </x14:cfRule>
          <xm:sqref>H48:I48</xm:sqref>
        </x14:conditionalFormatting>
        <x14:conditionalFormatting xmlns:xm="http://schemas.microsoft.com/office/excel/2006/main">
          <x14:cfRule type="expression" priority="48" id="{6782D2BB-9F57-4E5A-A95C-B3E81F778EF0}">
            <xm:f>AND(O13&lt;&gt;0,U!L36="!",U!L37="!")</xm:f>
            <x14:dxf>
              <font>
                <b/>
                <i val="0"/>
                <color rgb="FFFF0000"/>
              </font>
              <fill>
                <patternFill>
                  <bgColor rgb="FFFFCCCC"/>
                </patternFill>
              </fill>
            </x14:dxf>
          </x14:cfRule>
          <x14:cfRule type="expression" priority="49" id="{CB8562CD-EDA1-42DB-BE1B-CB3E0E7E478D}">
            <xm:f>U!L37&lt;&gt;"!"</xm:f>
            <x14:dxf>
              <font>
                <b/>
                <i val="0"/>
                <color rgb="FF006666"/>
              </font>
              <fill>
                <patternFill>
                  <bgColor theme="6" tint="0.39994506668294322"/>
                </patternFill>
              </fill>
            </x14:dxf>
          </x14:cfRule>
          <x14:cfRule type="expression" priority="50" id="{50012BDE-21F9-48DB-846E-953AECD65509}">
            <xm:f>U!L36&lt;&gt;"!"</xm:f>
            <x14:dxf>
              <font>
                <b/>
                <i val="0"/>
                <color theme="9" tint="-0.499984740745262"/>
              </font>
              <fill>
                <patternFill>
                  <bgColor rgb="FFFFFF99"/>
                </patternFill>
              </fill>
            </x14:dxf>
          </x14:cfRule>
          <xm:sqref>O13:Z13</xm:sqref>
        </x14:conditionalFormatting>
        <x14:conditionalFormatting xmlns:xm="http://schemas.microsoft.com/office/excel/2006/main">
          <x14:cfRule type="expression" priority="2" id="{BD944706-A442-4965-93D9-A1ABC4E0498A}">
            <xm:f>EÜR!$J$66="-"</xm:f>
            <x14:dxf>
              <font>
                <b/>
                <i val="0"/>
                <color theme="0"/>
              </font>
              <fill>
                <patternFill>
                  <bgColor theme="0"/>
                </patternFill>
              </fill>
              <border>
                <left/>
                <right/>
                <top/>
                <bottom/>
              </border>
            </x14:dxf>
          </x14:cfRule>
          <xm:sqref>O12:AA14</xm:sqref>
        </x14:conditionalFormatting>
      </x14:conditionalFormattings>
    </ext>
  </extLst>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0FEBC6-BEA8-4472-A467-12BF9796DC14}">
  <sheetPr codeName="Tabelle37">
    <tabColor theme="9" tint="0.39997558519241921"/>
    <pageSetUpPr autoPageBreaks="0"/>
  </sheetPr>
  <dimension ref="A1:AB51"/>
  <sheetViews>
    <sheetView showGridLines="0" showRowColHeaders="0" zoomScaleNormal="100" workbookViewId="0">
      <pane ySplit="3" topLeftCell="A4" activePane="bottomLeft" state="frozen"/>
      <selection activeCell="F4" sqref="F4:F46"/>
      <selection pane="bottomLeft" activeCell="A4" sqref="A4"/>
    </sheetView>
  </sheetViews>
  <sheetFormatPr baseColWidth="10" defaultColWidth="9.77734375" defaultRowHeight="12.75"/>
  <cols>
    <col min="1" max="1" width="0.77734375" style="12" customWidth="1"/>
    <col min="2" max="2" width="7.6640625" style="30" customWidth="1"/>
    <col min="3" max="3" width="21.6640625" style="24" customWidth="1"/>
    <col min="4" max="4" width="7.6640625" style="24" customWidth="1"/>
    <col min="5" max="5" width="6.6640625" style="25" customWidth="1"/>
    <col min="6" max="6" width="9.6640625" style="26" customWidth="1"/>
    <col min="7" max="7" width="9.6640625" style="27" customWidth="1"/>
    <col min="8" max="8" width="2.6640625" style="28" customWidth="1"/>
    <col min="9" max="9" width="6.6640625" style="29" customWidth="1"/>
    <col min="10" max="10" width="9.6640625" style="27" customWidth="1"/>
    <col min="11" max="11" width="2.5546875" style="27" hidden="1" customWidth="1"/>
    <col min="12" max="12" width="1.5546875" style="32" hidden="1" customWidth="1"/>
    <col min="13" max="13" width="0.77734375" style="13" customWidth="1"/>
    <col min="14" max="14" width="1.77734375" style="147" customWidth="1"/>
    <col min="15" max="26" width="8.77734375" style="13" customWidth="1"/>
    <col min="27" max="27" width="10.33203125" style="13" customWidth="1"/>
    <col min="28" max="28" width="8.33203125" style="13" customWidth="1"/>
    <col min="29" max="16384" width="9.77734375" style="13"/>
  </cols>
  <sheetData>
    <row r="1" spans="1:28" s="37" customFormat="1" ht="3" customHeight="1" thickBot="1">
      <c r="A1" s="36"/>
      <c r="B1" s="53" t="str">
        <f>+B48</f>
        <v>ü</v>
      </c>
      <c r="C1" s="54">
        <f>+C49</f>
        <v>0</v>
      </c>
      <c r="D1" s="54"/>
      <c r="E1" s="53">
        <f>+E49</f>
        <v>0</v>
      </c>
      <c r="F1" s="53"/>
      <c r="G1" s="54">
        <f>+G49</f>
        <v>0</v>
      </c>
      <c r="H1" s="53"/>
      <c r="I1" s="338" t="str">
        <f>+EÜR!J66</f>
        <v>-</v>
      </c>
      <c r="J1" s="54">
        <f>+J48</f>
        <v>0</v>
      </c>
      <c r="K1" s="198"/>
      <c r="L1" s="56"/>
      <c r="N1" s="190"/>
    </row>
    <row r="2" spans="1:28" ht="23.1" customHeight="1" thickTop="1" thickBot="1">
      <c r="A2" s="36"/>
      <c r="B2" s="296" t="str">
        <f>+EÜR!D49</f>
        <v>A28</v>
      </c>
      <c r="C2" s="1290" t="str">
        <f>+EÜR!F49</f>
        <v>Leasingkosten</v>
      </c>
      <c r="D2" s="1291"/>
      <c r="E2" s="1291"/>
      <c r="F2" s="1291"/>
      <c r="G2" s="1291"/>
      <c r="H2" s="1291"/>
      <c r="I2" s="1292"/>
      <c r="J2" s="1227" t="s">
        <v>8</v>
      </c>
      <c r="K2" s="1228"/>
      <c r="L2" s="1229"/>
      <c r="M2" s="134"/>
      <c r="N2" s="190">
        <f>IF(OR(B48="x",N3=1),0,1)</f>
        <v>1</v>
      </c>
      <c r="O2" s="188">
        <f>+EOMONTH(EÜR!$I$3,-1)+1</f>
        <v>46023</v>
      </c>
      <c r="P2" s="188">
        <f t="shared" ref="P2:Z2" si="0">+O3+1</f>
        <v>46054</v>
      </c>
      <c r="Q2" s="188">
        <f t="shared" si="0"/>
        <v>46082</v>
      </c>
      <c r="R2" s="188">
        <f t="shared" si="0"/>
        <v>46113</v>
      </c>
      <c r="S2" s="188">
        <f t="shared" si="0"/>
        <v>46143</v>
      </c>
      <c r="T2" s="188">
        <f t="shared" si="0"/>
        <v>46174</v>
      </c>
      <c r="U2" s="188">
        <f t="shared" si="0"/>
        <v>46204</v>
      </c>
      <c r="V2" s="188">
        <f t="shared" si="0"/>
        <v>46235</v>
      </c>
      <c r="W2" s="188">
        <f t="shared" si="0"/>
        <v>46266</v>
      </c>
      <c r="X2" s="188">
        <f t="shared" si="0"/>
        <v>46296</v>
      </c>
      <c r="Y2" s="188">
        <f t="shared" si="0"/>
        <v>46327</v>
      </c>
      <c r="Z2" s="188">
        <f t="shared" si="0"/>
        <v>46357</v>
      </c>
      <c r="AA2" s="48"/>
    </row>
    <row r="3" spans="1:28" ht="14.25" customHeight="1" thickTop="1">
      <c r="A3" s="36" t="s">
        <v>5</v>
      </c>
      <c r="B3" s="58" t="s">
        <v>1</v>
      </c>
      <c r="C3" s="59" t="s">
        <v>6</v>
      </c>
      <c r="D3" s="60"/>
      <c r="E3" s="310" t="s">
        <v>7</v>
      </c>
      <c r="F3" s="61" t="s">
        <v>4</v>
      </c>
      <c r="G3" s="62" t="s">
        <v>31</v>
      </c>
      <c r="H3" s="63" t="s">
        <v>33</v>
      </c>
      <c r="I3" s="64" t="s">
        <v>32</v>
      </c>
      <c r="J3" s="275" t="s">
        <v>34</v>
      </c>
      <c r="K3" s="199">
        <v>0</v>
      </c>
      <c r="L3" s="65" t="s">
        <v>5</v>
      </c>
      <c r="M3" s="135" t="s">
        <v>5</v>
      </c>
      <c r="N3" s="222">
        <f>IF(SUBTOTAL(109,K3:K47)&lt;&gt;SUM(K3:K47),1,0)</f>
        <v>0</v>
      </c>
      <c r="O3" s="189">
        <f>EOMONTH(O2,0)</f>
        <v>46053</v>
      </c>
      <c r="P3" s="189">
        <f t="shared" ref="P3:Z3" si="1">EOMONTH(P2,0)</f>
        <v>46081</v>
      </c>
      <c r="Q3" s="189">
        <f t="shared" si="1"/>
        <v>46112</v>
      </c>
      <c r="R3" s="189">
        <f t="shared" si="1"/>
        <v>46142</v>
      </c>
      <c r="S3" s="189">
        <f t="shared" si="1"/>
        <v>46173</v>
      </c>
      <c r="T3" s="189">
        <f t="shared" si="1"/>
        <v>46203</v>
      </c>
      <c r="U3" s="189">
        <f t="shared" si="1"/>
        <v>46234</v>
      </c>
      <c r="V3" s="189">
        <f t="shared" si="1"/>
        <v>46265</v>
      </c>
      <c r="W3" s="189">
        <f t="shared" si="1"/>
        <v>46295</v>
      </c>
      <c r="X3" s="189">
        <f t="shared" si="1"/>
        <v>46326</v>
      </c>
      <c r="Y3" s="189">
        <f t="shared" si="1"/>
        <v>46356</v>
      </c>
      <c r="Z3" s="189">
        <f t="shared" si="1"/>
        <v>46387</v>
      </c>
      <c r="AB3" s="14"/>
    </row>
    <row r="4" spans="1:28" ht="13.35" customHeight="1">
      <c r="A4" s="50" t="s">
        <v>5</v>
      </c>
      <c r="B4" s="141"/>
      <c r="C4" s="80"/>
      <c r="D4" s="93"/>
      <c r="E4" s="226"/>
      <c r="F4" s="89"/>
      <c r="G4" s="81"/>
      <c r="H4" s="82"/>
      <c r="I4" s="83" t="str">
        <f t="shared" ref="I4:I44" si="2">IF(G4&lt;&gt;"",+G4-G4/(1+H4/100),"")</f>
        <v/>
      </c>
      <c r="J4" s="361" t="str">
        <f t="shared" ref="J4:J44" si="3">IF(G4&lt;&gt;0,+G4-I4,"")</f>
        <v/>
      </c>
      <c r="K4" s="200">
        <v>1</v>
      </c>
      <c r="L4" s="133">
        <f>IF(B4&lt;$O$2,0,IF(B4&lt;$P$2,1,IF(B4&lt;$Q$2,2,IF(B4&lt;$R$2,3,IF(B4&lt;$S$2,4,IF(B4&lt;$T$2,5,IF(B4&lt;$U$2,6,IF(B4&lt;$V$2,7,IF(B4&lt;$W$2,8,IF(B4&lt;$X$2,9,IF(B4&lt;$Y$2,10,IF(B4&lt;$Z$2,11,IF(B4&lt;=$Z$3,12,0)))))))))))))</f>
        <v>0</v>
      </c>
      <c r="M4" s="135" t="s">
        <v>5</v>
      </c>
      <c r="N4" s="190">
        <f>+N10+AA12+AA16</f>
        <v>0</v>
      </c>
      <c r="O4" s="251" t="s">
        <v>36</v>
      </c>
      <c r="P4" s="251" t="s">
        <v>37</v>
      </c>
      <c r="Q4" s="251" t="s">
        <v>38</v>
      </c>
      <c r="R4" s="251" t="s">
        <v>39</v>
      </c>
      <c r="S4" s="251" t="s">
        <v>40</v>
      </c>
      <c r="T4" s="251" t="s">
        <v>41</v>
      </c>
      <c r="U4" s="251" t="s">
        <v>42</v>
      </c>
      <c r="V4" s="251" t="s">
        <v>43</v>
      </c>
      <c r="W4" s="251" t="s">
        <v>44</v>
      </c>
      <c r="X4" s="251" t="s">
        <v>45</v>
      </c>
      <c r="Y4" s="251" t="s">
        <v>46</v>
      </c>
      <c r="Z4" s="251" t="s">
        <v>47</v>
      </c>
      <c r="AA4" s="1209" t="s">
        <v>255</v>
      </c>
      <c r="AB4" s="1210"/>
    </row>
    <row r="5" spans="1:28" ht="13.35" customHeight="1">
      <c r="A5" s="50" t="s">
        <v>5</v>
      </c>
      <c r="B5" s="141"/>
      <c r="C5" s="80"/>
      <c r="D5" s="93"/>
      <c r="E5" s="226"/>
      <c r="F5" s="89"/>
      <c r="G5" s="81"/>
      <c r="H5" s="82"/>
      <c r="I5" s="83" t="str">
        <f t="shared" si="2"/>
        <v/>
      </c>
      <c r="J5" s="361" t="str">
        <f t="shared" si="3"/>
        <v/>
      </c>
      <c r="K5" s="200">
        <v>2</v>
      </c>
      <c r="L5" s="133">
        <f t="shared" ref="L5:L44" si="4">IF(B5&lt;$O$2,0,IF(B5&lt;$P$2,1,IF(B5&lt;$Q$2,2,IF(B5&lt;$R$2,3,IF(B5&lt;$S$2,4,IF(B5&lt;$T$2,5,IF(B5&lt;$U$2,6,IF(B5&lt;$V$2,7,IF(B5&lt;$W$2,8,IF(B5&lt;$X$2,9,IF(B5&lt;$Y$2,10,IF(B5&lt;$Z$2,11,IF(B5&lt;=$Z$3,12,0)))))))))))))</f>
        <v>0</v>
      </c>
      <c r="M5" s="135" t="s">
        <v>5</v>
      </c>
      <c r="O5" s="252">
        <f>SUMIFS($G$3:$G$47,$L$3:$L$47,1,$F$3:$F$47,"Konto")</f>
        <v>0</v>
      </c>
      <c r="P5" s="252">
        <f>SUMIFS($G$3:$G$47,$L$3:$L$47,2,$F$3:$F$47,"Konto")</f>
        <v>0</v>
      </c>
      <c r="Q5" s="252">
        <f>SUMIFS($G$3:$G$47,$L$3:$L$47,3,$F$3:$F$47,"Konto")</f>
        <v>0</v>
      </c>
      <c r="R5" s="252">
        <f>SUMIFS($G$3:$G$47,$L$3:$L$47,4,$F$3:$F$47,"Konto")</f>
        <v>0</v>
      </c>
      <c r="S5" s="252">
        <f>SUMIFS($G$3:$G$47,$L$3:$L$47,5,$F$3:$F$47,"Konto")</f>
        <v>0</v>
      </c>
      <c r="T5" s="252">
        <f>SUMIFS($G$3:$G$47,$L$3:$L$47,6,$F$3:$F$47,"Konto")</f>
        <v>0</v>
      </c>
      <c r="U5" s="252">
        <f>SUMIFS($G$3:$G$47,$L$3:$L$47,7,$F$3:$F$47,"Konto")</f>
        <v>0</v>
      </c>
      <c r="V5" s="252">
        <f>SUMIFS($G$3:$G$47,$L$3:$L$47,8,$F$3:$F$47,"Konto")</f>
        <v>0</v>
      </c>
      <c r="W5" s="252">
        <f>SUMIFS($G$3:$G$47,$L$3:$L$47,9,$F$3:$F$47,"Konto")</f>
        <v>0</v>
      </c>
      <c r="X5" s="252">
        <f>SUMIFS($G$3:$G$47,$L$3:$L$47,10,$F$3:$F$47,"Konto")</f>
        <v>0</v>
      </c>
      <c r="Y5" s="252">
        <f>SUMIFS($G$3:$G$47,$L$3:$L$47,11,$F$3:$F$47,"Konto")</f>
        <v>0</v>
      </c>
      <c r="Z5" s="252">
        <f>SUMIFS($G$3:$G$47,$L$3:$L$47,12,$F$3:$F$47,"Konto")</f>
        <v>0</v>
      </c>
      <c r="AA5" s="253">
        <f>SUM(O5:Z5)</f>
        <v>0</v>
      </c>
      <c r="AB5" s="254" t="s">
        <v>140</v>
      </c>
    </row>
    <row r="6" spans="1:28" ht="13.35" customHeight="1">
      <c r="A6" s="50" t="s">
        <v>5</v>
      </c>
      <c r="B6" s="141"/>
      <c r="C6" s="80"/>
      <c r="D6" s="93"/>
      <c r="E6" s="226"/>
      <c r="F6" s="89"/>
      <c r="G6" s="81"/>
      <c r="H6" s="82"/>
      <c r="I6" s="83" t="str">
        <f t="shared" si="2"/>
        <v/>
      </c>
      <c r="J6" s="361" t="str">
        <f t="shared" si="3"/>
        <v/>
      </c>
      <c r="K6" s="200">
        <v>3</v>
      </c>
      <c r="L6" s="133">
        <f t="shared" si="4"/>
        <v>0</v>
      </c>
      <c r="M6" s="135" t="s">
        <v>5</v>
      </c>
      <c r="N6" s="190"/>
      <c r="O6" s="252">
        <f>SUMIFS($G$3:$G$47,$L$3:$L$47,1,$F$3:$F$47,"Kreditkarte")</f>
        <v>0</v>
      </c>
      <c r="P6" s="252">
        <f>SUMIFS($G$3:$G$47,$L$3:$L$47,2,$F$3:$F$47,"Kreditkarte")</f>
        <v>0</v>
      </c>
      <c r="Q6" s="252">
        <f>SUMIFS($G$3:$G$47,$L$3:$L$47,3,$F$3:$F$47,"Kreditkarte")</f>
        <v>0</v>
      </c>
      <c r="R6" s="252">
        <f>SUMIFS($G$3:$G$47,$L$3:$L$47,4,$F$3:$F$47,"Kreditkarte")</f>
        <v>0</v>
      </c>
      <c r="S6" s="252">
        <f>SUMIFS($G$3:$G$47,$L$3:$L$47,5,$F$3:$F$47,"Kreditkarte")</f>
        <v>0</v>
      </c>
      <c r="T6" s="252">
        <f>SUMIFS($G$3:$G$47,$L$3:$L$47,6,$F$3:$F$47,"Kreditkarte")</f>
        <v>0</v>
      </c>
      <c r="U6" s="252">
        <f>SUMIFS($G$3:$G$47,$L$3:$L$47,7,$F$3:$F$47,"Kreditkarte")</f>
        <v>0</v>
      </c>
      <c r="V6" s="252">
        <f>SUMIFS($G$3:$G$47,$L$3:$L$47,8,$F$3:$F$47,"Kreditkarte")</f>
        <v>0</v>
      </c>
      <c r="W6" s="252">
        <f>SUMIFS($G$3:$G$47,$L$3:$L$47,9,$F$3:$F$47,"Kreditkarte")</f>
        <v>0</v>
      </c>
      <c r="X6" s="252">
        <f>SUMIFS($G$3:$G$47,$L$3:$L$47,10,$F$3:$F$47,"Kreditkarte")</f>
        <v>0</v>
      </c>
      <c r="Y6" s="252">
        <f>SUMIFS($G$3:$G$47,$L$3:$L$47,11,$F$3:$F$47,"Kreditkarte")</f>
        <v>0</v>
      </c>
      <c r="Z6" s="252">
        <f>SUMIFS($G$3:$G$47,$L$3:$L$47,12,$F$3:$F$47,"Kreditkarte")</f>
        <v>0</v>
      </c>
      <c r="AA6" s="255">
        <f t="shared" ref="AA6:AA8" si="5">SUM(O6:Z6)</f>
        <v>0</v>
      </c>
      <c r="AB6" s="256" t="s">
        <v>142</v>
      </c>
    </row>
    <row r="7" spans="1:28" ht="13.35" customHeight="1">
      <c r="A7" s="50" t="s">
        <v>5</v>
      </c>
      <c r="B7" s="141"/>
      <c r="C7" s="80"/>
      <c r="D7" s="93"/>
      <c r="E7" s="226"/>
      <c r="F7" s="89"/>
      <c r="G7" s="81"/>
      <c r="H7" s="82"/>
      <c r="I7" s="83" t="str">
        <f t="shared" si="2"/>
        <v/>
      </c>
      <c r="J7" s="361" t="str">
        <f t="shared" si="3"/>
        <v/>
      </c>
      <c r="K7" s="200">
        <v>4</v>
      </c>
      <c r="L7" s="133">
        <f t="shared" si="4"/>
        <v>0</v>
      </c>
      <c r="M7" s="135" t="s">
        <v>5</v>
      </c>
      <c r="O7" s="252">
        <f>SUMIFS($G$3:$G$47,$L$3:$L$47,1,$F$3:$F$47,"Geldbeutel")</f>
        <v>0</v>
      </c>
      <c r="P7" s="252">
        <f>SUMIFS($G$3:$G$47,$L$3:$L$47,2,$F$3:$F$47,"Geldbeutel")</f>
        <v>0</v>
      </c>
      <c r="Q7" s="252">
        <f>SUMIFS($G$3:$G$47,$L$3:$L$47,3,$F$3:$F$47,"Geldbeutel")</f>
        <v>0</v>
      </c>
      <c r="R7" s="252">
        <f>SUMIFS($G$3:$G$47,$L$3:$L$47,4,$F$3:$F$47,"Geldbeutel")</f>
        <v>0</v>
      </c>
      <c r="S7" s="252">
        <f>SUMIFS($G$3:$G$47,$L$3:$L$47,5,$F$3:$F$47,"Geldbeutel")</f>
        <v>0</v>
      </c>
      <c r="T7" s="252">
        <f>SUMIFS($G$3:$G$47,$L$3:$L$47,6,$F$3:$F$47,"Geldbeutel")</f>
        <v>0</v>
      </c>
      <c r="U7" s="252">
        <f>SUMIFS($G$3:$G$47,$L$3:$L$47,7,$F$3:$F$47,"Geldbeutel")</f>
        <v>0</v>
      </c>
      <c r="V7" s="252">
        <f>SUMIFS($G$3:$G$47,$L$3:$L$47,8,$F$3:$F$47,"Geldbeutel")</f>
        <v>0</v>
      </c>
      <c r="W7" s="252">
        <f>SUMIFS($G$3:$G$47,$L$3:$L$47,9,$F$3:$F$47,"Geldbeutel")</f>
        <v>0</v>
      </c>
      <c r="X7" s="252">
        <f>SUMIFS($G$3:$G$47,$L$3:$L$47,10,$F$3:$F$47,"Geldbeutel")</f>
        <v>0</v>
      </c>
      <c r="Y7" s="252">
        <f>SUMIFS($G$3:$G$47,$L$3:$L$47,11,$F$3:$F$47,"Geldbeutel")</f>
        <v>0</v>
      </c>
      <c r="Z7" s="252">
        <f>SUMIFS($G$3:$G$47,$L$3:$L$47,12,$F$3:$F$47,"Geldbeutel")</f>
        <v>0</v>
      </c>
      <c r="AA7" s="253">
        <f t="shared" si="5"/>
        <v>0</v>
      </c>
      <c r="AB7" s="254" t="s">
        <v>139</v>
      </c>
    </row>
    <row r="8" spans="1:28" ht="13.35" customHeight="1">
      <c r="A8" s="50" t="s">
        <v>5</v>
      </c>
      <c r="B8" s="141"/>
      <c r="C8" s="80"/>
      <c r="D8" s="93"/>
      <c r="E8" s="226"/>
      <c r="F8" s="89"/>
      <c r="G8" s="81"/>
      <c r="H8" s="82"/>
      <c r="I8" s="83" t="str">
        <f t="shared" si="2"/>
        <v/>
      </c>
      <c r="J8" s="361" t="str">
        <f t="shared" si="3"/>
        <v/>
      </c>
      <c r="K8" s="200">
        <v>5</v>
      </c>
      <c r="L8" s="133">
        <f t="shared" si="4"/>
        <v>0</v>
      </c>
      <c r="M8" s="135" t="s">
        <v>5</v>
      </c>
      <c r="O8" s="252">
        <f>SUMIFS($G$3:$G$47,$L$3:$L$47,1,$F$3:$F$47,"X")</f>
        <v>0</v>
      </c>
      <c r="P8" s="252">
        <f>SUMIFS($G$3:$G$47,$L$3:$L$47,2,$F$3:$F$47,"X")</f>
        <v>0</v>
      </c>
      <c r="Q8" s="252">
        <f>SUMIFS($G$3:$G$47,$L$3:$L$47,3,$F$3:$F$47,"X")</f>
        <v>0</v>
      </c>
      <c r="R8" s="252">
        <f>SUMIFS($G$3:$G$47,$L$3:$L$47,4,$F$3:$F$47,"X")</f>
        <v>0</v>
      </c>
      <c r="S8" s="252">
        <f>SUMIFS($G$3:$G$47,$L$3:$L$47,5,$F$3:$F$47,"X")</f>
        <v>0</v>
      </c>
      <c r="T8" s="252">
        <f>SUMIFS($G$3:$G$47,$L$3:$L$47,6,$F$3:$F$47,"X")</f>
        <v>0</v>
      </c>
      <c r="U8" s="252">
        <f>SUMIFS($G$3:$G$47,$L$3:$L$47,7,$F$3:$F$47,"X")</f>
        <v>0</v>
      </c>
      <c r="V8" s="252">
        <f>SUMIFS($G$3:$G$47,$L$3:$L$47,8,$F$3:$F$47,"X")</f>
        <v>0</v>
      </c>
      <c r="W8" s="252">
        <f>SUMIFS($G$3:$G$47,$L$3:$L$47,9,$F$3:$F$47,"X")</f>
        <v>0</v>
      </c>
      <c r="X8" s="252">
        <f>SUMIFS($G$3:$G$47,$L$3:$L$47,10,$F$3:$F$47,"X")</f>
        <v>0</v>
      </c>
      <c r="Y8" s="252">
        <f>SUMIFS($G$3:$G$47,$L$3:$L$47,11,$F$3:$F$47,"X")</f>
        <v>0</v>
      </c>
      <c r="Z8" s="252">
        <f>SUMIFS($G$3:$G$47,$L$3:$L$47,12,$F$3:$F$47,"X")</f>
        <v>0</v>
      </c>
      <c r="AA8" s="255">
        <f t="shared" si="5"/>
        <v>0</v>
      </c>
      <c r="AB8" s="256" t="s">
        <v>192</v>
      </c>
    </row>
    <row r="9" spans="1:28" ht="13.35" customHeight="1">
      <c r="A9" s="50" t="s">
        <v>5</v>
      </c>
      <c r="B9" s="141"/>
      <c r="C9" s="80"/>
      <c r="D9" s="93"/>
      <c r="E9" s="226"/>
      <c r="F9" s="89"/>
      <c r="G9" s="81"/>
      <c r="H9" s="82"/>
      <c r="I9" s="83" t="str">
        <f t="shared" si="2"/>
        <v/>
      </c>
      <c r="J9" s="361" t="str">
        <f t="shared" si="3"/>
        <v/>
      </c>
      <c r="K9" s="200">
        <v>6</v>
      </c>
      <c r="L9" s="133">
        <f t="shared" si="4"/>
        <v>0</v>
      </c>
      <c r="M9" s="135" t="s">
        <v>5</v>
      </c>
      <c r="N9" s="191">
        <f>IF(OR(AND(AA14&lt;&gt;0,B48="x"),(O14+AA13)&lt;&gt;H48),1,0)</f>
        <v>0</v>
      </c>
      <c r="O9" s="257">
        <f>SUM(O5:O8)</f>
        <v>0</v>
      </c>
      <c r="P9" s="257">
        <f t="shared" ref="P9:Z9" si="6">SUM(P5:P8)</f>
        <v>0</v>
      </c>
      <c r="Q9" s="257">
        <f t="shared" si="6"/>
        <v>0</v>
      </c>
      <c r="R9" s="257">
        <f t="shared" si="6"/>
        <v>0</v>
      </c>
      <c r="S9" s="257">
        <f t="shared" si="6"/>
        <v>0</v>
      </c>
      <c r="T9" s="257">
        <f t="shared" si="6"/>
        <v>0</v>
      </c>
      <c r="U9" s="257">
        <f t="shared" si="6"/>
        <v>0</v>
      </c>
      <c r="V9" s="257">
        <f t="shared" si="6"/>
        <v>0</v>
      </c>
      <c r="W9" s="257">
        <f t="shared" si="6"/>
        <v>0</v>
      </c>
      <c r="X9" s="257">
        <f t="shared" si="6"/>
        <v>0</v>
      </c>
      <c r="Y9" s="257">
        <f t="shared" si="6"/>
        <v>0</v>
      </c>
      <c r="Z9" s="257">
        <f t="shared" si="6"/>
        <v>0</v>
      </c>
      <c r="AA9" s="1211" t="s">
        <v>197</v>
      </c>
      <c r="AB9" s="1212"/>
    </row>
    <row r="10" spans="1:28" ht="13.35" customHeight="1">
      <c r="A10" s="50" t="s">
        <v>5</v>
      </c>
      <c r="B10" s="141"/>
      <c r="C10" s="80"/>
      <c r="D10" s="93"/>
      <c r="E10" s="226"/>
      <c r="F10" s="89"/>
      <c r="G10" s="81"/>
      <c r="H10" s="82"/>
      <c r="I10" s="83" t="str">
        <f t="shared" si="2"/>
        <v/>
      </c>
      <c r="J10" s="361" t="str">
        <f t="shared" si="3"/>
        <v/>
      </c>
      <c r="K10" s="200">
        <v>7</v>
      </c>
      <c r="L10" s="133">
        <f t="shared" si="4"/>
        <v>0</v>
      </c>
      <c r="M10" s="135" t="s">
        <v>5</v>
      </c>
      <c r="N10" s="259">
        <f>IF(O10+AA10&lt;&gt;G48,1,0)</f>
        <v>0</v>
      </c>
      <c r="O10" s="1230">
        <f>SUM(O5:Z8)</f>
        <v>0</v>
      </c>
      <c r="P10" s="1231"/>
      <c r="Q10" s="1231"/>
      <c r="R10" s="1231"/>
      <c r="S10" s="1231"/>
      <c r="T10" s="1231"/>
      <c r="U10" s="1231"/>
      <c r="V10" s="1231"/>
      <c r="W10" s="1231"/>
      <c r="X10" s="1231"/>
      <c r="Y10" s="1231"/>
      <c r="Z10" s="1232"/>
      <c r="AA10" s="292">
        <f>+G48-AA7-AA6-AA5-AA8</f>
        <v>0</v>
      </c>
      <c r="AB10" s="293" t="s">
        <v>205</v>
      </c>
    </row>
    <row r="11" spans="1:28" ht="13.35" customHeight="1">
      <c r="A11" s="50" t="s">
        <v>5</v>
      </c>
      <c r="B11" s="141"/>
      <c r="C11" s="80"/>
      <c r="D11" s="93"/>
      <c r="E11" s="226"/>
      <c r="F11" s="89"/>
      <c r="G11" s="81"/>
      <c r="H11" s="82"/>
      <c r="I11" s="83" t="str">
        <f t="shared" si="2"/>
        <v/>
      </c>
      <c r="J11" s="361" t="str">
        <f t="shared" si="3"/>
        <v/>
      </c>
      <c r="K11" s="200">
        <v>8</v>
      </c>
      <c r="L11" s="133">
        <f t="shared" si="4"/>
        <v>0</v>
      </c>
      <c r="M11" s="135" t="s">
        <v>5</v>
      </c>
      <c r="O11" s="1219" t="str">
        <f>IF(N4&gt;0,"Fehler!","")</f>
        <v/>
      </c>
      <c r="P11" s="1219"/>
      <c r="Q11" s="1219"/>
      <c r="R11" s="1219"/>
      <c r="S11" s="1219"/>
      <c r="T11" s="1219"/>
      <c r="U11" s="1219"/>
      <c r="V11" s="1219"/>
      <c r="W11" s="1219"/>
      <c r="X11" s="1219"/>
      <c r="Y11" s="1219"/>
      <c r="Z11" s="1219"/>
    </row>
    <row r="12" spans="1:28" ht="13.35" customHeight="1">
      <c r="A12" s="50" t="s">
        <v>5</v>
      </c>
      <c r="B12" s="141"/>
      <c r="C12" s="80"/>
      <c r="D12" s="93"/>
      <c r="E12" s="226"/>
      <c r="F12" s="89"/>
      <c r="G12" s="81"/>
      <c r="H12" s="82"/>
      <c r="I12" s="83" t="str">
        <f t="shared" si="2"/>
        <v/>
      </c>
      <c r="J12" s="361" t="str">
        <f t="shared" si="3"/>
        <v/>
      </c>
      <c r="K12" s="200">
        <v>9</v>
      </c>
      <c r="L12" s="133">
        <f t="shared" si="4"/>
        <v>0</v>
      </c>
      <c r="M12" s="135" t="s">
        <v>5</v>
      </c>
      <c r="O12" s="203" t="s">
        <v>36</v>
      </c>
      <c r="P12" s="203" t="s">
        <v>37</v>
      </c>
      <c r="Q12" s="203" t="s">
        <v>38</v>
      </c>
      <c r="R12" s="203" t="s">
        <v>39</v>
      </c>
      <c r="S12" s="203" t="s">
        <v>40</v>
      </c>
      <c r="T12" s="203" t="s">
        <v>41</v>
      </c>
      <c r="U12" s="203" t="s">
        <v>42</v>
      </c>
      <c r="V12" s="203" t="s">
        <v>43</v>
      </c>
      <c r="W12" s="203" t="s">
        <v>44</v>
      </c>
      <c r="X12" s="203" t="s">
        <v>45</v>
      </c>
      <c r="Y12" s="203" t="s">
        <v>46</v>
      </c>
      <c r="Z12" s="203" t="s">
        <v>47</v>
      </c>
      <c r="AA12" s="221">
        <f>IF(O14+AA13&lt;&gt;H48,1,0)</f>
        <v>0</v>
      </c>
    </row>
    <row r="13" spans="1:28" ht="13.35" customHeight="1">
      <c r="A13" s="50" t="s">
        <v>5</v>
      </c>
      <c r="B13" s="141"/>
      <c r="C13" s="80"/>
      <c r="D13" s="93"/>
      <c r="E13" s="226"/>
      <c r="F13" s="89"/>
      <c r="G13" s="81"/>
      <c r="H13" s="82"/>
      <c r="I13" s="83" t="str">
        <f t="shared" si="2"/>
        <v/>
      </c>
      <c r="J13" s="361" t="str">
        <f t="shared" si="3"/>
        <v/>
      </c>
      <c r="K13" s="200">
        <v>10</v>
      </c>
      <c r="L13" s="133">
        <f t="shared" si="4"/>
        <v>0</v>
      </c>
      <c r="M13" s="135" t="s">
        <v>5</v>
      </c>
      <c r="O13" s="187">
        <f>SUMIF($L$3:$L$47,1,$I$3:$I$47)</f>
        <v>0</v>
      </c>
      <c r="P13" s="187">
        <f>SUMIF($L$3:$L$47,2,$I$3:$I$47)</f>
        <v>0</v>
      </c>
      <c r="Q13" s="187">
        <f>SUMIF($L$3:$L$47,3,$I$3:$I$47)</f>
        <v>0</v>
      </c>
      <c r="R13" s="187">
        <f>SUMIF($L$3:$L$47,4,$I$3:$I$47)</f>
        <v>0</v>
      </c>
      <c r="S13" s="187">
        <f>SUMIF($L$3:$L$47,5,$I$3:$I$47)</f>
        <v>0</v>
      </c>
      <c r="T13" s="187">
        <f>SUMIF($L$3:$L$47,6,$I$3:$I$47)</f>
        <v>0</v>
      </c>
      <c r="U13" s="187">
        <f>SUMIF($L$3:$L$47,7,$I$3:$I$47)</f>
        <v>0</v>
      </c>
      <c r="V13" s="187">
        <f>SUMIF($L$3:$L$47,8,$I$3:$I$47)</f>
        <v>0</v>
      </c>
      <c r="W13" s="187">
        <f>SUMIF($L$3:$L$47,9,$I$3:$I$47)</f>
        <v>0</v>
      </c>
      <c r="X13" s="187">
        <f>SUMIF($L$3:$L$47,10,$I$3:$I$47)</f>
        <v>0</v>
      </c>
      <c r="Y13" s="187">
        <f>SUMIF($L$3:$L$47,11,$I$3:$I$47)</f>
        <v>0</v>
      </c>
      <c r="Z13" s="187">
        <f>SUMIF($L$3:$L$47,12,$I$3:$I$47)</f>
        <v>0</v>
      </c>
      <c r="AA13" s="1220">
        <f>SUMIF($L$3:$L$47,0,$I$3:$I$47)</f>
        <v>0</v>
      </c>
      <c r="AB13" s="1221"/>
    </row>
    <row r="14" spans="1:28" ht="13.35" customHeight="1">
      <c r="A14" s="50" t="s">
        <v>5</v>
      </c>
      <c r="B14" s="141"/>
      <c r="C14" s="80"/>
      <c r="D14" s="93"/>
      <c r="E14" s="226"/>
      <c r="F14" s="89"/>
      <c r="G14" s="81"/>
      <c r="H14" s="82"/>
      <c r="I14" s="83" t="str">
        <f t="shared" si="2"/>
        <v/>
      </c>
      <c r="J14" s="361" t="str">
        <f t="shared" si="3"/>
        <v/>
      </c>
      <c r="K14" s="200">
        <v>11</v>
      </c>
      <c r="L14" s="133">
        <f t="shared" si="4"/>
        <v>0</v>
      </c>
      <c r="M14" s="135" t="s">
        <v>5</v>
      </c>
      <c r="O14" s="1299">
        <f>SUM(O13:Z13)</f>
        <v>0</v>
      </c>
      <c r="P14" s="1300"/>
      <c r="Q14" s="1300"/>
      <c r="R14" s="1300"/>
      <c r="S14" s="1300"/>
      <c r="T14" s="1300"/>
      <c r="U14" s="1300"/>
      <c r="V14" s="1300"/>
      <c r="W14" s="1300"/>
      <c r="X14" s="1300"/>
      <c r="Y14" s="1300"/>
      <c r="Z14" s="1301"/>
      <c r="AA14" s="1222">
        <f>SUM(O13:Z13)+AA13</f>
        <v>0</v>
      </c>
      <c r="AB14" s="1223"/>
    </row>
    <row r="15" spans="1:28" ht="13.35" customHeight="1">
      <c r="A15" s="50" t="s">
        <v>5</v>
      </c>
      <c r="B15" s="141"/>
      <c r="C15" s="260"/>
      <c r="D15" s="93"/>
      <c r="E15" s="226"/>
      <c r="F15" s="89"/>
      <c r="G15" s="81"/>
      <c r="H15" s="82"/>
      <c r="I15" s="83" t="str">
        <f t="shared" si="2"/>
        <v/>
      </c>
      <c r="J15" s="361" t="str">
        <f t="shared" si="3"/>
        <v/>
      </c>
      <c r="K15" s="200">
        <v>12</v>
      </c>
      <c r="L15" s="133">
        <f t="shared" si="4"/>
        <v>0</v>
      </c>
      <c r="M15" s="135" t="s">
        <v>5</v>
      </c>
      <c r="O15" s="244"/>
      <c r="P15" s="244"/>
      <c r="Q15" s="244"/>
      <c r="R15" s="244"/>
      <c r="S15" s="244"/>
      <c r="T15" s="244"/>
      <c r="U15" s="244"/>
      <c r="V15" s="244"/>
      <c r="W15" s="244"/>
      <c r="X15" s="244"/>
      <c r="Y15" s="244"/>
      <c r="Z15" s="244"/>
      <c r="AA15" s="244"/>
      <c r="AB15" s="244"/>
    </row>
    <row r="16" spans="1:28" ht="13.35" customHeight="1">
      <c r="A16" s="50" t="s">
        <v>5</v>
      </c>
      <c r="B16" s="141"/>
      <c r="C16" s="80"/>
      <c r="D16" s="93"/>
      <c r="E16" s="226"/>
      <c r="F16" s="89"/>
      <c r="G16" s="81"/>
      <c r="H16" s="82"/>
      <c r="I16" s="83" t="str">
        <f t="shared" si="2"/>
        <v/>
      </c>
      <c r="J16" s="361" t="str">
        <f t="shared" si="3"/>
        <v/>
      </c>
      <c r="K16" s="200">
        <v>13</v>
      </c>
      <c r="L16" s="133">
        <f t="shared" si="4"/>
        <v>0</v>
      </c>
      <c r="M16" s="135" t="s">
        <v>5</v>
      </c>
      <c r="O16" s="244"/>
      <c r="P16" s="244"/>
      <c r="Q16" s="244"/>
      <c r="R16" s="244"/>
      <c r="S16" s="244"/>
      <c r="T16" s="244"/>
      <c r="U16" s="244"/>
      <c r="V16" s="244"/>
      <c r="W16" s="244"/>
      <c r="X16" s="244"/>
      <c r="Y16" s="244"/>
      <c r="Z16" s="244"/>
      <c r="AA16" s="244"/>
      <c r="AB16" s="244"/>
    </row>
    <row r="17" spans="1:28" ht="13.35" customHeight="1">
      <c r="A17" s="50" t="s">
        <v>5</v>
      </c>
      <c r="B17" s="141"/>
      <c r="C17" s="80"/>
      <c r="D17" s="93"/>
      <c r="E17" s="226"/>
      <c r="F17" s="89"/>
      <c r="G17" s="81"/>
      <c r="H17" s="82"/>
      <c r="I17" s="83" t="str">
        <f t="shared" si="2"/>
        <v/>
      </c>
      <c r="J17" s="361" t="str">
        <f t="shared" si="3"/>
        <v/>
      </c>
      <c r="K17" s="200">
        <v>14</v>
      </c>
      <c r="L17" s="133">
        <f t="shared" si="4"/>
        <v>0</v>
      </c>
      <c r="M17" s="135" t="s">
        <v>5</v>
      </c>
      <c r="O17" s="244"/>
      <c r="P17" s="244"/>
      <c r="Q17" s="244"/>
      <c r="R17" s="244"/>
      <c r="S17" s="244"/>
      <c r="T17" s="244"/>
      <c r="U17" s="244"/>
      <c r="V17" s="244"/>
      <c r="W17" s="244"/>
      <c r="X17" s="244"/>
      <c r="Y17" s="244"/>
      <c r="Z17" s="244"/>
      <c r="AA17" s="244"/>
      <c r="AB17" s="244"/>
    </row>
    <row r="18" spans="1:28" ht="13.35" customHeight="1">
      <c r="A18" s="50" t="s">
        <v>5</v>
      </c>
      <c r="B18" s="141"/>
      <c r="C18" s="80"/>
      <c r="D18" s="93"/>
      <c r="E18" s="226"/>
      <c r="F18" s="89"/>
      <c r="G18" s="81"/>
      <c r="H18" s="82"/>
      <c r="I18" s="83" t="str">
        <f t="shared" si="2"/>
        <v/>
      </c>
      <c r="J18" s="361" t="str">
        <f t="shared" si="3"/>
        <v/>
      </c>
      <c r="K18" s="200">
        <v>15</v>
      </c>
      <c r="L18" s="133">
        <f t="shared" si="4"/>
        <v>0</v>
      </c>
      <c r="M18" s="135" t="s">
        <v>5</v>
      </c>
      <c r="O18" s="244"/>
      <c r="P18" s="244"/>
      <c r="Q18" s="244"/>
      <c r="R18" s="244"/>
      <c r="S18" s="244"/>
      <c r="T18" s="244"/>
      <c r="U18" s="244"/>
      <c r="V18" s="244"/>
      <c r="W18" s="244"/>
      <c r="X18" s="244"/>
      <c r="Y18" s="244"/>
      <c r="Z18" s="244"/>
      <c r="AA18" s="244"/>
      <c r="AB18" s="244"/>
    </row>
    <row r="19" spans="1:28" ht="13.35" customHeight="1">
      <c r="A19" s="50" t="s">
        <v>5</v>
      </c>
      <c r="B19" s="141"/>
      <c r="C19" s="80"/>
      <c r="D19" s="93"/>
      <c r="E19" s="226"/>
      <c r="F19" s="89"/>
      <c r="G19" s="81"/>
      <c r="H19" s="82"/>
      <c r="I19" s="83" t="str">
        <f t="shared" si="2"/>
        <v/>
      </c>
      <c r="J19" s="361" t="str">
        <f t="shared" si="3"/>
        <v/>
      </c>
      <c r="K19" s="200">
        <v>16</v>
      </c>
      <c r="L19" s="133">
        <f t="shared" si="4"/>
        <v>0</v>
      </c>
      <c r="M19" s="135" t="s">
        <v>5</v>
      </c>
      <c r="O19" s="244"/>
      <c r="P19" s="244"/>
      <c r="Q19" s="244"/>
      <c r="R19" s="244"/>
      <c r="S19" s="244"/>
      <c r="T19" s="244"/>
      <c r="U19" s="244"/>
      <c r="V19" s="244"/>
      <c r="W19" s="244"/>
      <c r="X19" s="244"/>
      <c r="Y19" s="244"/>
      <c r="Z19" s="244"/>
      <c r="AA19" s="244"/>
      <c r="AB19" s="244"/>
    </row>
    <row r="20" spans="1:28" ht="13.35" customHeight="1">
      <c r="A20" s="50" t="s">
        <v>5</v>
      </c>
      <c r="B20" s="141"/>
      <c r="C20" s="80"/>
      <c r="D20" s="93"/>
      <c r="E20" s="226"/>
      <c r="F20" s="89"/>
      <c r="G20" s="81"/>
      <c r="H20" s="82"/>
      <c r="I20" s="83" t="str">
        <f t="shared" si="2"/>
        <v/>
      </c>
      <c r="J20" s="361" t="str">
        <f t="shared" si="3"/>
        <v/>
      </c>
      <c r="K20" s="200">
        <v>17</v>
      </c>
      <c r="L20" s="133">
        <f t="shared" si="4"/>
        <v>0</v>
      </c>
      <c r="M20" s="135" t="s">
        <v>5</v>
      </c>
      <c r="O20" s="244"/>
      <c r="P20" s="244"/>
      <c r="Q20" s="244"/>
      <c r="R20" s="244"/>
      <c r="S20" s="244"/>
      <c r="T20" s="244"/>
      <c r="U20" s="244"/>
      <c r="V20" s="244"/>
      <c r="W20" s="244"/>
      <c r="X20" s="244"/>
      <c r="Y20" s="244"/>
      <c r="Z20" s="244"/>
      <c r="AA20" s="244"/>
      <c r="AB20" s="244"/>
    </row>
    <row r="21" spans="1:28" ht="13.35" customHeight="1">
      <c r="A21" s="50" t="s">
        <v>5</v>
      </c>
      <c r="B21" s="141"/>
      <c r="C21" s="80"/>
      <c r="D21" s="93"/>
      <c r="E21" s="226"/>
      <c r="F21" s="89"/>
      <c r="G21" s="81"/>
      <c r="H21" s="82"/>
      <c r="I21" s="83" t="str">
        <f t="shared" si="2"/>
        <v/>
      </c>
      <c r="J21" s="361" t="str">
        <f t="shared" si="3"/>
        <v/>
      </c>
      <c r="K21" s="200">
        <v>18</v>
      </c>
      <c r="L21" s="133">
        <f t="shared" si="4"/>
        <v>0</v>
      </c>
      <c r="M21" s="135" t="s">
        <v>5</v>
      </c>
      <c r="O21" s="244"/>
      <c r="P21" s="244"/>
      <c r="Q21" s="244"/>
      <c r="R21" s="244"/>
      <c r="S21" s="244"/>
      <c r="T21" s="244"/>
      <c r="U21" s="244"/>
      <c r="V21" s="244"/>
      <c r="W21" s="244"/>
      <c r="X21" s="244"/>
      <c r="Y21" s="244"/>
      <c r="Z21" s="244"/>
      <c r="AA21" s="244"/>
      <c r="AB21" s="244"/>
    </row>
    <row r="22" spans="1:28" ht="13.35" customHeight="1">
      <c r="A22" s="50" t="s">
        <v>5</v>
      </c>
      <c r="B22" s="141"/>
      <c r="C22" s="80"/>
      <c r="D22" s="93"/>
      <c r="E22" s="226"/>
      <c r="F22" s="89"/>
      <c r="G22" s="81"/>
      <c r="H22" s="82"/>
      <c r="I22" s="83" t="str">
        <f t="shared" si="2"/>
        <v/>
      </c>
      <c r="J22" s="361" t="str">
        <f t="shared" si="3"/>
        <v/>
      </c>
      <c r="K22" s="200">
        <v>19</v>
      </c>
      <c r="L22" s="133">
        <f t="shared" si="4"/>
        <v>0</v>
      </c>
      <c r="M22" s="135" t="s">
        <v>5</v>
      </c>
      <c r="O22" s="244"/>
      <c r="P22" s="244"/>
      <c r="Q22" s="244"/>
      <c r="R22" s="244"/>
      <c r="S22" s="244"/>
      <c r="T22" s="244"/>
      <c r="U22" s="244"/>
      <c r="V22" s="244"/>
      <c r="W22" s="244"/>
      <c r="X22" s="244"/>
      <c r="Y22" s="244"/>
      <c r="Z22" s="244"/>
      <c r="AA22" s="244"/>
      <c r="AB22" s="244"/>
    </row>
    <row r="23" spans="1:28" ht="13.35" customHeight="1">
      <c r="A23" s="50" t="s">
        <v>5</v>
      </c>
      <c r="B23" s="141"/>
      <c r="C23" s="80"/>
      <c r="D23" s="94"/>
      <c r="E23" s="226"/>
      <c r="F23" s="89"/>
      <c r="G23" s="81"/>
      <c r="H23" s="82"/>
      <c r="I23" s="83" t="str">
        <f t="shared" si="2"/>
        <v/>
      </c>
      <c r="J23" s="361" t="str">
        <f t="shared" si="3"/>
        <v/>
      </c>
      <c r="K23" s="200">
        <v>20</v>
      </c>
      <c r="L23" s="133">
        <f t="shared" si="4"/>
        <v>0</v>
      </c>
      <c r="M23" s="135" t="s">
        <v>5</v>
      </c>
      <c r="O23" s="244"/>
      <c r="P23" s="244"/>
      <c r="Q23" s="244"/>
      <c r="R23" s="244"/>
      <c r="S23" s="244"/>
      <c r="T23" s="244"/>
      <c r="U23" s="244"/>
      <c r="V23" s="244"/>
      <c r="W23" s="244"/>
      <c r="X23" s="244"/>
      <c r="Y23" s="244"/>
      <c r="Z23" s="244"/>
      <c r="AA23" s="244"/>
      <c r="AB23" s="244"/>
    </row>
    <row r="24" spans="1:28" ht="13.35" customHeight="1">
      <c r="A24" s="50" t="s">
        <v>5</v>
      </c>
      <c r="B24" s="141"/>
      <c r="C24" s="80"/>
      <c r="D24" s="93"/>
      <c r="E24" s="226"/>
      <c r="F24" s="89"/>
      <c r="G24" s="81"/>
      <c r="H24" s="82"/>
      <c r="I24" s="83" t="str">
        <f t="shared" si="2"/>
        <v/>
      </c>
      <c r="J24" s="361" t="str">
        <f t="shared" si="3"/>
        <v/>
      </c>
      <c r="K24" s="200">
        <v>21</v>
      </c>
      <c r="L24" s="133">
        <f t="shared" si="4"/>
        <v>0</v>
      </c>
      <c r="M24" s="135" t="s">
        <v>5</v>
      </c>
      <c r="O24" s="244"/>
      <c r="P24" s="244"/>
      <c r="Q24" s="244"/>
      <c r="R24" s="244"/>
      <c r="S24" s="244"/>
      <c r="T24" s="244"/>
      <c r="U24" s="244"/>
      <c r="V24" s="244"/>
      <c r="W24" s="244"/>
      <c r="X24" s="244"/>
      <c r="Y24" s="244"/>
      <c r="Z24" s="244"/>
      <c r="AA24" s="244"/>
      <c r="AB24" s="244"/>
    </row>
    <row r="25" spans="1:28" ht="13.35" customHeight="1">
      <c r="A25" s="50" t="s">
        <v>5</v>
      </c>
      <c r="B25" s="141"/>
      <c r="C25" s="80"/>
      <c r="D25" s="93"/>
      <c r="E25" s="226"/>
      <c r="F25" s="89"/>
      <c r="G25" s="81"/>
      <c r="H25" s="82"/>
      <c r="I25" s="83" t="str">
        <f t="shared" si="2"/>
        <v/>
      </c>
      <c r="J25" s="361" t="str">
        <f t="shared" si="3"/>
        <v/>
      </c>
      <c r="K25" s="200">
        <v>22</v>
      </c>
      <c r="L25" s="133">
        <f t="shared" si="4"/>
        <v>0</v>
      </c>
      <c r="M25" s="135" t="s">
        <v>5</v>
      </c>
      <c r="O25" s="244"/>
      <c r="P25" s="244"/>
      <c r="Q25" s="244"/>
      <c r="R25" s="244"/>
      <c r="S25" s="244"/>
      <c r="T25" s="244"/>
      <c r="U25" s="244"/>
      <c r="V25" s="244"/>
      <c r="W25" s="244"/>
      <c r="X25" s="244"/>
      <c r="Y25" s="244"/>
      <c r="Z25" s="244"/>
      <c r="AA25" s="244"/>
      <c r="AB25" s="244"/>
    </row>
    <row r="26" spans="1:28" ht="13.35" customHeight="1">
      <c r="A26" s="50" t="s">
        <v>5</v>
      </c>
      <c r="B26" s="141"/>
      <c r="C26" s="80"/>
      <c r="D26" s="93"/>
      <c r="E26" s="226"/>
      <c r="F26" s="89"/>
      <c r="G26" s="81"/>
      <c r="H26" s="82"/>
      <c r="I26" s="83" t="str">
        <f t="shared" si="2"/>
        <v/>
      </c>
      <c r="J26" s="361" t="str">
        <f t="shared" si="3"/>
        <v/>
      </c>
      <c r="K26" s="200">
        <v>23</v>
      </c>
      <c r="L26" s="133">
        <f t="shared" si="4"/>
        <v>0</v>
      </c>
      <c r="M26" s="135" t="s">
        <v>5</v>
      </c>
      <c r="O26" s="244"/>
      <c r="P26" s="244"/>
      <c r="Q26" s="244"/>
      <c r="R26" s="244"/>
      <c r="S26" s="244"/>
      <c r="T26" s="244"/>
      <c r="U26" s="244"/>
      <c r="V26" s="244"/>
      <c r="W26" s="244"/>
      <c r="X26" s="244"/>
      <c r="Y26" s="244"/>
      <c r="Z26" s="244"/>
      <c r="AA26" s="244"/>
      <c r="AB26" s="244"/>
    </row>
    <row r="27" spans="1:28" ht="13.35" customHeight="1">
      <c r="A27" s="50" t="s">
        <v>5</v>
      </c>
      <c r="B27" s="141"/>
      <c r="C27" s="80"/>
      <c r="D27" s="93"/>
      <c r="E27" s="226"/>
      <c r="F27" s="89"/>
      <c r="G27" s="81"/>
      <c r="H27" s="82"/>
      <c r="I27" s="83" t="str">
        <f t="shared" si="2"/>
        <v/>
      </c>
      <c r="J27" s="361" t="str">
        <f t="shared" si="3"/>
        <v/>
      </c>
      <c r="K27" s="200">
        <v>24</v>
      </c>
      <c r="L27" s="133">
        <f t="shared" si="4"/>
        <v>0</v>
      </c>
      <c r="M27" s="135" t="s">
        <v>5</v>
      </c>
      <c r="O27" s="244"/>
      <c r="P27" s="244"/>
      <c r="Q27" s="244"/>
      <c r="R27" s="244"/>
      <c r="S27" s="244"/>
      <c r="T27" s="244"/>
      <c r="U27" s="244"/>
      <c r="V27" s="244"/>
      <c r="W27" s="244"/>
      <c r="X27" s="244"/>
      <c r="Y27" s="244"/>
      <c r="Z27" s="244"/>
      <c r="AA27" s="244"/>
      <c r="AB27" s="244"/>
    </row>
    <row r="28" spans="1:28" ht="13.35" customHeight="1">
      <c r="A28" s="50" t="s">
        <v>5</v>
      </c>
      <c r="B28" s="141"/>
      <c r="C28" s="80"/>
      <c r="D28" s="93"/>
      <c r="E28" s="226"/>
      <c r="F28" s="89"/>
      <c r="G28" s="81"/>
      <c r="H28" s="82"/>
      <c r="I28" s="83" t="str">
        <f t="shared" si="2"/>
        <v/>
      </c>
      <c r="J28" s="361" t="str">
        <f t="shared" si="3"/>
        <v/>
      </c>
      <c r="K28" s="200">
        <v>25</v>
      </c>
      <c r="L28" s="133">
        <f t="shared" si="4"/>
        <v>0</v>
      </c>
      <c r="M28" s="135" t="s">
        <v>5</v>
      </c>
      <c r="O28" s="244"/>
      <c r="P28" s="244"/>
      <c r="Q28" s="244"/>
      <c r="R28" s="244"/>
      <c r="S28" s="244"/>
      <c r="T28" s="244"/>
      <c r="U28" s="244"/>
      <c r="V28" s="244"/>
      <c r="W28" s="244"/>
      <c r="X28" s="244"/>
      <c r="Y28" s="244"/>
      <c r="Z28" s="244"/>
      <c r="AA28" s="244"/>
      <c r="AB28" s="244"/>
    </row>
    <row r="29" spans="1:28" ht="13.35" customHeight="1">
      <c r="A29" s="50" t="s">
        <v>5</v>
      </c>
      <c r="B29" s="141"/>
      <c r="C29" s="80"/>
      <c r="D29" s="93"/>
      <c r="E29" s="226"/>
      <c r="F29" s="89"/>
      <c r="G29" s="81"/>
      <c r="H29" s="82"/>
      <c r="I29" s="83" t="str">
        <f t="shared" si="2"/>
        <v/>
      </c>
      <c r="J29" s="361" t="str">
        <f t="shared" si="3"/>
        <v/>
      </c>
      <c r="K29" s="200">
        <v>26</v>
      </c>
      <c r="L29" s="133">
        <f t="shared" si="4"/>
        <v>0</v>
      </c>
      <c r="M29" s="135" t="s">
        <v>5</v>
      </c>
      <c r="O29" s="244"/>
      <c r="P29" s="244"/>
      <c r="Q29" s="244"/>
      <c r="R29" s="244"/>
      <c r="S29" s="244"/>
      <c r="T29" s="244"/>
      <c r="U29" s="244"/>
      <c r="V29" s="244"/>
      <c r="W29" s="244"/>
      <c r="X29" s="244"/>
      <c r="Y29" s="244"/>
      <c r="Z29" s="244"/>
      <c r="AA29" s="244"/>
      <c r="AB29" s="244"/>
    </row>
    <row r="30" spans="1:28" ht="13.35" customHeight="1">
      <c r="A30" s="50" t="s">
        <v>5</v>
      </c>
      <c r="B30" s="141"/>
      <c r="C30" s="80"/>
      <c r="D30" s="93"/>
      <c r="E30" s="226"/>
      <c r="F30" s="89"/>
      <c r="G30" s="81"/>
      <c r="H30" s="82"/>
      <c r="I30" s="83" t="str">
        <f t="shared" si="2"/>
        <v/>
      </c>
      <c r="J30" s="361" t="str">
        <f t="shared" si="3"/>
        <v/>
      </c>
      <c r="K30" s="200">
        <v>27</v>
      </c>
      <c r="L30" s="133">
        <f t="shared" si="4"/>
        <v>0</v>
      </c>
      <c r="M30" s="135" t="s">
        <v>5</v>
      </c>
      <c r="O30" s="244"/>
      <c r="P30" s="244"/>
      <c r="Q30" s="244"/>
      <c r="R30" s="244"/>
      <c r="S30" s="244"/>
      <c r="T30" s="244"/>
      <c r="U30" s="244"/>
      <c r="V30" s="244"/>
      <c r="W30" s="244"/>
      <c r="X30" s="244"/>
      <c r="Y30" s="244"/>
      <c r="Z30" s="244"/>
      <c r="AA30" s="244"/>
      <c r="AB30" s="244"/>
    </row>
    <row r="31" spans="1:28" ht="13.35" customHeight="1">
      <c r="A31" s="50" t="s">
        <v>5</v>
      </c>
      <c r="B31" s="141"/>
      <c r="C31" s="80"/>
      <c r="D31" s="93"/>
      <c r="E31" s="226"/>
      <c r="F31" s="89"/>
      <c r="G31" s="81"/>
      <c r="H31" s="82"/>
      <c r="I31" s="83" t="str">
        <f t="shared" si="2"/>
        <v/>
      </c>
      <c r="J31" s="361" t="str">
        <f t="shared" si="3"/>
        <v/>
      </c>
      <c r="K31" s="200">
        <v>28</v>
      </c>
      <c r="L31" s="133">
        <f t="shared" si="4"/>
        <v>0</v>
      </c>
      <c r="M31" s="135" t="s">
        <v>5</v>
      </c>
      <c r="O31" s="244"/>
      <c r="P31" s="244"/>
      <c r="Q31" s="244"/>
      <c r="R31" s="244"/>
      <c r="S31" s="244"/>
      <c r="T31" s="244"/>
      <c r="U31" s="244"/>
      <c r="V31" s="244"/>
      <c r="W31" s="244"/>
      <c r="X31" s="244"/>
      <c r="Y31" s="244"/>
      <c r="Z31" s="244"/>
      <c r="AA31" s="244"/>
      <c r="AB31" s="244"/>
    </row>
    <row r="32" spans="1:28" ht="13.35" customHeight="1">
      <c r="A32" s="50" t="s">
        <v>5</v>
      </c>
      <c r="B32" s="141"/>
      <c r="C32" s="80"/>
      <c r="D32" s="93"/>
      <c r="E32" s="226"/>
      <c r="F32" s="89"/>
      <c r="G32" s="81"/>
      <c r="H32" s="82"/>
      <c r="I32" s="83" t="str">
        <f t="shared" si="2"/>
        <v/>
      </c>
      <c r="J32" s="361" t="str">
        <f t="shared" si="3"/>
        <v/>
      </c>
      <c r="K32" s="200">
        <v>29</v>
      </c>
      <c r="L32" s="133">
        <f t="shared" si="4"/>
        <v>0</v>
      </c>
      <c r="M32" s="135" t="s">
        <v>5</v>
      </c>
      <c r="O32" s="244"/>
      <c r="P32" s="244"/>
      <c r="Q32" s="244"/>
      <c r="R32" s="244"/>
      <c r="S32" s="244"/>
      <c r="T32" s="244"/>
      <c r="U32" s="244"/>
      <c r="V32" s="244"/>
      <c r="W32" s="244"/>
      <c r="X32" s="244"/>
      <c r="Y32" s="244"/>
      <c r="Z32" s="244"/>
      <c r="AA32" s="244"/>
      <c r="AB32" s="244"/>
    </row>
    <row r="33" spans="1:28" ht="13.35" customHeight="1">
      <c r="A33" s="50" t="s">
        <v>5</v>
      </c>
      <c r="B33" s="141"/>
      <c r="C33" s="80"/>
      <c r="D33" s="93"/>
      <c r="E33" s="226"/>
      <c r="F33" s="89"/>
      <c r="G33" s="81"/>
      <c r="H33" s="82"/>
      <c r="I33" s="83" t="str">
        <f t="shared" si="2"/>
        <v/>
      </c>
      <c r="J33" s="361" t="str">
        <f t="shared" si="3"/>
        <v/>
      </c>
      <c r="K33" s="200">
        <v>30</v>
      </c>
      <c r="L33" s="133">
        <f t="shared" si="4"/>
        <v>0</v>
      </c>
      <c r="M33" s="135" t="s">
        <v>5</v>
      </c>
      <c r="O33" s="244"/>
      <c r="P33" s="244"/>
      <c r="Q33" s="244"/>
      <c r="R33" s="244"/>
      <c r="S33" s="244"/>
      <c r="T33" s="244"/>
      <c r="U33" s="244"/>
      <c r="V33" s="244"/>
      <c r="W33" s="244"/>
      <c r="X33" s="244"/>
      <c r="Y33" s="244"/>
      <c r="Z33" s="244"/>
      <c r="AA33" s="244"/>
      <c r="AB33" s="244"/>
    </row>
    <row r="34" spans="1:28" ht="13.35" customHeight="1">
      <c r="A34" s="50" t="s">
        <v>5</v>
      </c>
      <c r="B34" s="141"/>
      <c r="C34" s="80"/>
      <c r="D34" s="93"/>
      <c r="E34" s="226"/>
      <c r="F34" s="89"/>
      <c r="G34" s="81"/>
      <c r="H34" s="82"/>
      <c r="I34" s="83" t="str">
        <f t="shared" si="2"/>
        <v/>
      </c>
      <c r="J34" s="361" t="str">
        <f t="shared" si="3"/>
        <v/>
      </c>
      <c r="K34" s="200">
        <v>31</v>
      </c>
      <c r="L34" s="133">
        <f t="shared" si="4"/>
        <v>0</v>
      </c>
      <c r="M34" s="135" t="s">
        <v>5</v>
      </c>
      <c r="O34" s="244"/>
      <c r="P34" s="244"/>
      <c r="Q34" s="244"/>
      <c r="R34" s="244"/>
      <c r="S34" s="244"/>
      <c r="T34" s="244"/>
      <c r="U34" s="244"/>
      <c r="V34" s="244"/>
      <c r="W34" s="244"/>
      <c r="X34" s="244"/>
      <c r="Y34" s="244"/>
      <c r="Z34" s="244"/>
      <c r="AA34" s="244"/>
      <c r="AB34" s="244"/>
    </row>
    <row r="35" spans="1:28" ht="13.35" customHeight="1">
      <c r="A35" s="50" t="s">
        <v>5</v>
      </c>
      <c r="B35" s="141"/>
      <c r="C35" s="80"/>
      <c r="D35" s="93"/>
      <c r="E35" s="226"/>
      <c r="F35" s="89"/>
      <c r="G35" s="81"/>
      <c r="H35" s="82"/>
      <c r="I35" s="83" t="str">
        <f t="shared" si="2"/>
        <v/>
      </c>
      <c r="J35" s="361" t="str">
        <f t="shared" si="3"/>
        <v/>
      </c>
      <c r="K35" s="200">
        <v>32</v>
      </c>
      <c r="L35" s="133">
        <f t="shared" si="4"/>
        <v>0</v>
      </c>
      <c r="M35" s="135" t="s">
        <v>5</v>
      </c>
      <c r="O35" s="244"/>
      <c r="P35" s="244"/>
      <c r="Q35" s="244"/>
      <c r="R35" s="244"/>
      <c r="S35" s="244"/>
      <c r="T35" s="244"/>
      <c r="U35" s="244"/>
      <c r="V35" s="244"/>
      <c r="W35" s="244"/>
      <c r="X35" s="244"/>
      <c r="Y35" s="244"/>
      <c r="Z35" s="244"/>
      <c r="AA35" s="244"/>
      <c r="AB35" s="244"/>
    </row>
    <row r="36" spans="1:28" ht="13.35" customHeight="1">
      <c r="A36" s="50" t="s">
        <v>5</v>
      </c>
      <c r="B36" s="141"/>
      <c r="C36" s="80"/>
      <c r="D36" s="93"/>
      <c r="E36" s="226"/>
      <c r="F36" s="89"/>
      <c r="G36" s="81"/>
      <c r="H36" s="82"/>
      <c r="I36" s="83" t="str">
        <f t="shared" si="2"/>
        <v/>
      </c>
      <c r="J36" s="361" t="str">
        <f t="shared" si="3"/>
        <v/>
      </c>
      <c r="K36" s="200">
        <v>33</v>
      </c>
      <c r="L36" s="133">
        <f t="shared" si="4"/>
        <v>0</v>
      </c>
      <c r="M36" s="135" t="s">
        <v>5</v>
      </c>
      <c r="O36" s="244"/>
      <c r="P36" s="244"/>
      <c r="Q36" s="244"/>
      <c r="R36" s="244"/>
      <c r="S36" s="244"/>
      <c r="T36" s="244"/>
      <c r="U36" s="244"/>
      <c r="V36" s="244"/>
      <c r="W36" s="244"/>
      <c r="X36" s="244"/>
      <c r="Y36" s="244"/>
      <c r="Z36" s="244"/>
      <c r="AA36" s="244"/>
      <c r="AB36" s="244"/>
    </row>
    <row r="37" spans="1:28" ht="13.35" customHeight="1">
      <c r="A37" s="50" t="s">
        <v>5</v>
      </c>
      <c r="B37" s="141"/>
      <c r="C37" s="80"/>
      <c r="D37" s="93"/>
      <c r="E37" s="226"/>
      <c r="F37" s="89"/>
      <c r="G37" s="81"/>
      <c r="H37" s="82"/>
      <c r="I37" s="83" t="str">
        <f t="shared" si="2"/>
        <v/>
      </c>
      <c r="J37" s="361" t="str">
        <f t="shared" si="3"/>
        <v/>
      </c>
      <c r="K37" s="200">
        <v>34</v>
      </c>
      <c r="L37" s="133">
        <f t="shared" si="4"/>
        <v>0</v>
      </c>
      <c r="M37" s="135" t="s">
        <v>5</v>
      </c>
      <c r="O37" s="244"/>
      <c r="P37" s="244"/>
      <c r="Q37" s="244"/>
      <c r="R37" s="244"/>
      <c r="S37" s="244"/>
      <c r="T37" s="244"/>
      <c r="U37" s="244"/>
      <c r="V37" s="244"/>
      <c r="W37" s="244"/>
      <c r="X37" s="244"/>
      <c r="Y37" s="244"/>
      <c r="Z37" s="244"/>
      <c r="AA37" s="244"/>
      <c r="AB37" s="244"/>
    </row>
    <row r="38" spans="1:28" ht="13.35" customHeight="1">
      <c r="A38" s="50" t="s">
        <v>5</v>
      </c>
      <c r="B38" s="141"/>
      <c r="C38" s="80"/>
      <c r="D38" s="93"/>
      <c r="E38" s="226"/>
      <c r="F38" s="89"/>
      <c r="G38" s="81"/>
      <c r="H38" s="82"/>
      <c r="I38" s="83" t="str">
        <f t="shared" si="2"/>
        <v/>
      </c>
      <c r="J38" s="361" t="str">
        <f t="shared" si="3"/>
        <v/>
      </c>
      <c r="K38" s="200">
        <v>35</v>
      </c>
      <c r="L38" s="133">
        <f t="shared" si="4"/>
        <v>0</v>
      </c>
      <c r="M38" s="135" t="s">
        <v>5</v>
      </c>
      <c r="O38" s="244"/>
      <c r="P38" s="244"/>
      <c r="Q38" s="244"/>
      <c r="R38" s="244"/>
      <c r="S38" s="244"/>
      <c r="T38" s="244"/>
      <c r="U38" s="244"/>
      <c r="V38" s="244"/>
      <c r="W38" s="244"/>
      <c r="X38" s="244"/>
      <c r="Y38" s="244"/>
      <c r="Z38" s="244"/>
      <c r="AA38" s="244"/>
      <c r="AB38" s="244"/>
    </row>
    <row r="39" spans="1:28" ht="13.35" customHeight="1">
      <c r="A39" s="50" t="s">
        <v>5</v>
      </c>
      <c r="B39" s="141"/>
      <c r="C39" s="80"/>
      <c r="D39" s="93"/>
      <c r="E39" s="226"/>
      <c r="F39" s="89"/>
      <c r="G39" s="81"/>
      <c r="H39" s="82"/>
      <c r="I39" s="83" t="str">
        <f t="shared" si="2"/>
        <v/>
      </c>
      <c r="J39" s="361" t="str">
        <f t="shared" si="3"/>
        <v/>
      </c>
      <c r="K39" s="200">
        <v>36</v>
      </c>
      <c r="L39" s="133">
        <f t="shared" si="4"/>
        <v>0</v>
      </c>
      <c r="M39" s="135" t="s">
        <v>5</v>
      </c>
      <c r="O39" s="244"/>
      <c r="P39" s="244"/>
      <c r="Q39" s="244"/>
      <c r="R39" s="244"/>
      <c r="S39" s="244"/>
      <c r="T39" s="244"/>
      <c r="U39" s="244"/>
      <c r="V39" s="244"/>
      <c r="W39" s="244"/>
      <c r="X39" s="244"/>
      <c r="Y39" s="244"/>
      <c r="Z39" s="244"/>
      <c r="AA39" s="244"/>
      <c r="AB39" s="244"/>
    </row>
    <row r="40" spans="1:28" ht="13.35" customHeight="1">
      <c r="A40" s="50" t="s">
        <v>5</v>
      </c>
      <c r="B40" s="141"/>
      <c r="C40" s="80"/>
      <c r="D40" s="93"/>
      <c r="E40" s="226"/>
      <c r="F40" s="89"/>
      <c r="G40" s="81"/>
      <c r="H40" s="82"/>
      <c r="I40" s="83" t="str">
        <f t="shared" si="2"/>
        <v/>
      </c>
      <c r="J40" s="361" t="str">
        <f t="shared" si="3"/>
        <v/>
      </c>
      <c r="K40" s="200">
        <v>37</v>
      </c>
      <c r="L40" s="133">
        <f t="shared" si="4"/>
        <v>0</v>
      </c>
      <c r="M40" s="135" t="s">
        <v>5</v>
      </c>
      <c r="O40" s="244"/>
      <c r="P40" s="244"/>
      <c r="Q40" s="244"/>
      <c r="R40" s="244"/>
      <c r="S40" s="244"/>
      <c r="T40" s="244"/>
      <c r="U40" s="244"/>
      <c r="V40" s="244"/>
      <c r="W40" s="244"/>
      <c r="X40" s="244"/>
      <c r="Y40" s="244"/>
      <c r="Z40" s="244"/>
      <c r="AA40" s="244"/>
      <c r="AB40" s="244"/>
    </row>
    <row r="41" spans="1:28" ht="13.35" customHeight="1">
      <c r="A41" s="50" t="s">
        <v>5</v>
      </c>
      <c r="B41" s="141"/>
      <c r="C41" s="80"/>
      <c r="D41" s="93"/>
      <c r="E41" s="226"/>
      <c r="F41" s="89"/>
      <c r="G41" s="81"/>
      <c r="H41" s="82"/>
      <c r="I41" s="83" t="str">
        <f t="shared" si="2"/>
        <v/>
      </c>
      <c r="J41" s="361" t="str">
        <f t="shared" si="3"/>
        <v/>
      </c>
      <c r="K41" s="200">
        <v>38</v>
      </c>
      <c r="L41" s="133">
        <f t="shared" si="4"/>
        <v>0</v>
      </c>
      <c r="M41" s="135" t="s">
        <v>5</v>
      </c>
      <c r="O41" s="244"/>
      <c r="P41" s="244"/>
      <c r="Q41" s="244"/>
      <c r="R41" s="244"/>
      <c r="S41" s="244"/>
      <c r="T41" s="244"/>
      <c r="U41" s="244"/>
      <c r="V41" s="244"/>
      <c r="W41" s="244"/>
      <c r="X41" s="244"/>
      <c r="Y41" s="244"/>
      <c r="Z41" s="244"/>
      <c r="AA41" s="244"/>
      <c r="AB41" s="244"/>
    </row>
    <row r="42" spans="1:28" ht="13.35" customHeight="1">
      <c r="A42" s="50" t="s">
        <v>5</v>
      </c>
      <c r="B42" s="141"/>
      <c r="C42" s="80"/>
      <c r="D42" s="93"/>
      <c r="E42" s="226"/>
      <c r="F42" s="89"/>
      <c r="G42" s="81"/>
      <c r="H42" s="82"/>
      <c r="I42" s="83" t="str">
        <f t="shared" si="2"/>
        <v/>
      </c>
      <c r="J42" s="361" t="str">
        <f t="shared" si="3"/>
        <v/>
      </c>
      <c r="K42" s="200">
        <v>39</v>
      </c>
      <c r="L42" s="133">
        <f t="shared" si="4"/>
        <v>0</v>
      </c>
      <c r="M42" s="135" t="s">
        <v>5</v>
      </c>
      <c r="O42" s="244"/>
      <c r="P42" s="244"/>
      <c r="Q42" s="244"/>
      <c r="R42" s="244"/>
      <c r="S42" s="244"/>
      <c r="T42" s="244"/>
      <c r="U42" s="244"/>
      <c r="V42" s="244"/>
      <c r="W42" s="244"/>
      <c r="X42" s="244"/>
      <c r="Y42" s="244"/>
      <c r="Z42" s="244"/>
      <c r="AA42" s="244"/>
      <c r="AB42" s="244"/>
    </row>
    <row r="43" spans="1:28" ht="13.35" customHeight="1">
      <c r="A43" s="50" t="s">
        <v>5</v>
      </c>
      <c r="B43" s="141"/>
      <c r="C43" s="80"/>
      <c r="D43" s="93"/>
      <c r="E43" s="226"/>
      <c r="F43" s="89"/>
      <c r="G43" s="81"/>
      <c r="H43" s="82"/>
      <c r="I43" s="83" t="str">
        <f t="shared" si="2"/>
        <v/>
      </c>
      <c r="J43" s="361" t="str">
        <f t="shared" si="3"/>
        <v/>
      </c>
      <c r="K43" s="200">
        <v>40</v>
      </c>
      <c r="L43" s="133">
        <f t="shared" si="4"/>
        <v>0</v>
      </c>
      <c r="M43" s="135" t="s">
        <v>5</v>
      </c>
      <c r="O43" s="244"/>
      <c r="P43" s="244"/>
      <c r="Q43" s="244"/>
      <c r="R43" s="244"/>
      <c r="S43" s="244"/>
      <c r="T43" s="244"/>
      <c r="U43" s="244"/>
      <c r="V43" s="244"/>
      <c r="W43" s="244"/>
      <c r="X43" s="244"/>
      <c r="Y43" s="244"/>
      <c r="Z43" s="244"/>
      <c r="AA43" s="244"/>
      <c r="AB43" s="244"/>
    </row>
    <row r="44" spans="1:28" ht="13.35" customHeight="1">
      <c r="A44" s="50" t="s">
        <v>5</v>
      </c>
      <c r="B44" s="141"/>
      <c r="C44" s="80"/>
      <c r="D44" s="93"/>
      <c r="E44" s="226"/>
      <c r="F44" s="89"/>
      <c r="G44" s="81"/>
      <c r="H44" s="82"/>
      <c r="I44" s="83" t="str">
        <f t="shared" si="2"/>
        <v/>
      </c>
      <c r="J44" s="361" t="str">
        <f t="shared" si="3"/>
        <v/>
      </c>
      <c r="K44" s="200">
        <v>41</v>
      </c>
      <c r="L44" s="133">
        <f t="shared" si="4"/>
        <v>0</v>
      </c>
      <c r="M44" s="135" t="s">
        <v>5</v>
      </c>
      <c r="O44" s="244"/>
      <c r="P44" s="244"/>
      <c r="Q44" s="244"/>
      <c r="R44" s="244"/>
      <c r="S44" s="244"/>
      <c r="T44" s="244"/>
      <c r="U44" s="244"/>
      <c r="V44" s="244"/>
      <c r="W44" s="244"/>
      <c r="X44" s="244"/>
      <c r="Y44" s="244"/>
      <c r="Z44" s="244"/>
      <c r="AA44" s="244"/>
      <c r="AB44" s="244"/>
    </row>
    <row r="45" spans="1:28" ht="13.35" customHeight="1">
      <c r="A45" s="50" t="s">
        <v>5</v>
      </c>
      <c r="B45" s="141"/>
      <c r="C45" s="80"/>
      <c r="D45" s="93"/>
      <c r="E45" s="226"/>
      <c r="F45" s="89"/>
      <c r="G45" s="81"/>
      <c r="H45" s="82"/>
      <c r="I45" s="83" t="str">
        <f t="shared" ref="I45:I46" si="7">IF(G45&lt;&gt;"",+G45-G45/(1+H45/100),"")</f>
        <v/>
      </c>
      <c r="J45" s="361" t="str">
        <f t="shared" ref="J45:J46" si="8">IF(G45&lt;&gt;0,+G45-I45,"")</f>
        <v/>
      </c>
      <c r="K45" s="200">
        <v>44</v>
      </c>
      <c r="L45" s="133">
        <f t="shared" ref="L45:L46" si="9">IF(B45&lt;$O$2,0,IF(B45&lt;$P$2,1,IF(B45&lt;$Q$2,2,IF(B45&lt;$R$2,3,IF(B45&lt;$S$2,4,IF(B45&lt;$T$2,5,IF(B45&lt;$U$2,6,IF(B45&lt;$V$2,7,IF(B45&lt;$W$2,8,IF(B45&lt;$X$2,9,IF(B45&lt;$Y$2,10,IF(B45&lt;$Z$2,11,IF(B45&lt;=$Z$3,12,0)))))))))))))</f>
        <v>0</v>
      </c>
      <c r="M45" s="135" t="s">
        <v>5</v>
      </c>
      <c r="O45" s="244"/>
      <c r="P45" s="244"/>
      <c r="Q45" s="244"/>
      <c r="R45" s="244"/>
      <c r="S45" s="244"/>
      <c r="T45" s="244"/>
      <c r="U45" s="244"/>
      <c r="V45" s="244"/>
      <c r="W45" s="244"/>
      <c r="X45" s="244"/>
      <c r="Y45" s="244"/>
      <c r="Z45" s="244"/>
      <c r="AA45" s="244"/>
      <c r="AB45" s="244"/>
    </row>
    <row r="46" spans="1:28" ht="13.35" customHeight="1" thickBot="1">
      <c r="A46" s="50" t="s">
        <v>5</v>
      </c>
      <c r="B46" s="141"/>
      <c r="C46" s="80"/>
      <c r="D46" s="93"/>
      <c r="E46" s="226"/>
      <c r="F46" s="89"/>
      <c r="G46" s="81"/>
      <c r="H46" s="82"/>
      <c r="I46" s="83" t="str">
        <f t="shared" si="7"/>
        <v/>
      </c>
      <c r="J46" s="361" t="str">
        <f t="shared" si="8"/>
        <v/>
      </c>
      <c r="K46" s="200">
        <v>45</v>
      </c>
      <c r="L46" s="133">
        <f t="shared" si="9"/>
        <v>0</v>
      </c>
      <c r="M46" s="135" t="s">
        <v>5</v>
      </c>
      <c r="O46" s="244"/>
      <c r="P46" s="244"/>
      <c r="Q46" s="244"/>
      <c r="R46" s="244"/>
      <c r="S46" s="244"/>
      <c r="T46" s="244"/>
      <c r="U46" s="244"/>
      <c r="V46" s="244"/>
      <c r="W46" s="244"/>
      <c r="X46" s="244"/>
      <c r="Y46" s="244"/>
      <c r="Z46" s="244"/>
      <c r="AA46" s="244"/>
      <c r="AB46" s="244"/>
    </row>
    <row r="47" spans="1:28" ht="12" customHeight="1" thickTop="1" thickBot="1">
      <c r="A47" s="391" t="s">
        <v>283</v>
      </c>
      <c r="B47" s="1244" t="str">
        <f>IF($A$48=0,"^ Zeile einfügen","bis hierher ziehen!")</f>
        <v>^ Zeile einfügen</v>
      </c>
      <c r="C47" s="1244"/>
      <c r="D47" s="392" t="s">
        <v>5</v>
      </c>
      <c r="E47" s="393" t="s">
        <v>5</v>
      </c>
      <c r="F47" s="394" t="s">
        <v>5</v>
      </c>
      <c r="G47" s="394"/>
      <c r="H47" s="395"/>
      <c r="I47" s="396"/>
      <c r="J47" s="425"/>
      <c r="K47" s="201">
        <v>0</v>
      </c>
      <c r="L47" s="185" t="s">
        <v>5</v>
      </c>
      <c r="M47" s="398" t="s">
        <v>283</v>
      </c>
    </row>
    <row r="48" spans="1:28" ht="12" customHeight="1" thickTop="1" thickBot="1">
      <c r="A48" s="390">
        <f>COUNTBLANK(A3:A47)+A49</f>
        <v>0</v>
      </c>
      <c r="B48" s="193" t="str">
        <f>+EÜR!C49</f>
        <v>ü</v>
      </c>
      <c r="C48" s="194" t="s">
        <v>5</v>
      </c>
      <c r="D48" s="194" t="s">
        <v>5</v>
      </c>
      <c r="E48" s="195" t="s">
        <v>5</v>
      </c>
      <c r="F48" s="196" t="s">
        <v>5</v>
      </c>
      <c r="G48" s="197">
        <f>SUBTOTAL(9,G3:G47)</f>
        <v>0</v>
      </c>
      <c r="H48" s="1242">
        <f>SUBTOTAL(9,I3:I47)</f>
        <v>0</v>
      </c>
      <c r="I48" s="1243">
        <f>SUBTOTAL(9,I3:I47)</f>
        <v>0</v>
      </c>
      <c r="J48" s="1293">
        <f>G48-H48</f>
        <v>0</v>
      </c>
      <c r="K48" s="1294"/>
      <c r="L48" s="1295"/>
      <c r="M48" s="135" t="s">
        <v>5</v>
      </c>
    </row>
    <row r="49" spans="1:14" ht="12" customHeight="1" thickTop="1" thickBot="1">
      <c r="A49" s="390">
        <f>IF(ISERROR(J47),1,0)</f>
        <v>0</v>
      </c>
      <c r="B49" s="192">
        <f>J48-G49-E49-C49</f>
        <v>0</v>
      </c>
      <c r="C49" s="1239">
        <f>SUMIF(F4:F47,"Kreditkarte",G4:G47)</f>
        <v>0</v>
      </c>
      <c r="D49" s="1239"/>
      <c r="E49" s="1240">
        <f>SUMIF(F4:F47,"Konto",G4:G47)</f>
        <v>0</v>
      </c>
      <c r="F49" s="1240"/>
      <c r="G49" s="1241">
        <f>SUMIF(F4:F47,"Geldbeutel",G4:G47)</f>
        <v>0</v>
      </c>
      <c r="H49" s="1241"/>
      <c r="I49" s="1241"/>
      <c r="J49" s="1296"/>
      <c r="K49" s="1297"/>
      <c r="L49" s="1298"/>
      <c r="M49" s="135" t="s">
        <v>5</v>
      </c>
    </row>
    <row r="50" spans="1:14" s="15" customFormat="1" ht="5.25" customHeight="1" thickTop="1">
      <c r="A50" s="36"/>
      <c r="B50" s="2"/>
      <c r="C50" s="3"/>
      <c r="D50" s="3"/>
      <c r="E50" s="1"/>
      <c r="G50" s="16"/>
      <c r="H50" s="16"/>
      <c r="I50" s="17"/>
      <c r="J50" s="18"/>
      <c r="K50" s="18"/>
      <c r="L50" s="31"/>
      <c r="N50" s="148"/>
    </row>
    <row r="51" spans="1:14">
      <c r="A51" s="36"/>
    </row>
  </sheetData>
  <sheetProtection formatCells="0" insertRows="0" deleteRows="0" selectLockedCells="1" sort="0" autoFilter="0"/>
  <mergeCells count="15">
    <mergeCell ref="C2:I2"/>
    <mergeCell ref="J2:L2"/>
    <mergeCell ref="AA9:AB9"/>
    <mergeCell ref="O10:Z10"/>
    <mergeCell ref="O11:Z11"/>
    <mergeCell ref="AA4:AB4"/>
    <mergeCell ref="AA13:AB13"/>
    <mergeCell ref="O14:Z14"/>
    <mergeCell ref="AA14:AB14"/>
    <mergeCell ref="J48:L49"/>
    <mergeCell ref="C49:D49"/>
    <mergeCell ref="E49:F49"/>
    <mergeCell ref="G49:I49"/>
    <mergeCell ref="H48:I48"/>
    <mergeCell ref="B47:C47"/>
  </mergeCells>
  <conditionalFormatting sqref="A4:A46">
    <cfRule type="expression" dxfId="366" priority="16">
      <formula>ISERROR(J4)</formula>
    </cfRule>
    <cfRule type="cellIs" dxfId="365" priority="17" operator="equal">
      <formula>""</formula>
    </cfRule>
  </conditionalFormatting>
  <conditionalFormatting sqref="A47:C47">
    <cfRule type="expression" dxfId="364" priority="7">
      <formula>$A$48&lt;&gt;0</formula>
    </cfRule>
  </conditionalFormatting>
  <conditionalFormatting sqref="B2">
    <cfRule type="expression" dxfId="363" priority="43" stopIfTrue="1">
      <formula>$B$48="x"</formula>
    </cfRule>
  </conditionalFormatting>
  <conditionalFormatting sqref="B4:B46">
    <cfRule type="cellIs" dxfId="360" priority="30" operator="equal">
      <formula>""</formula>
    </cfRule>
  </conditionalFormatting>
  <conditionalFormatting sqref="B48">
    <cfRule type="cellIs" dxfId="359" priority="66" operator="equal">
      <formula>"y"</formula>
    </cfRule>
  </conditionalFormatting>
  <conditionalFormatting sqref="B3:J3">
    <cfRule type="expression" dxfId="358" priority="9186">
      <formula>$B$48="x"</formula>
    </cfRule>
  </conditionalFormatting>
  <conditionalFormatting sqref="B4:J46">
    <cfRule type="expression" dxfId="357" priority="26">
      <formula>$B$1="x"</formula>
    </cfRule>
  </conditionalFormatting>
  <conditionalFormatting sqref="B3:L3">
    <cfRule type="expression" dxfId="356" priority="60">
      <formula>$B$48="x"</formula>
    </cfRule>
  </conditionalFormatting>
  <conditionalFormatting sqref="C4:D46">
    <cfRule type="expression" dxfId="355" priority="33">
      <formula>AND($B4&lt;&gt;"",$C4="")</formula>
    </cfRule>
  </conditionalFormatting>
  <conditionalFormatting sqref="C49:I49">
    <cfRule type="cellIs" dxfId="354" priority="65" stopIfTrue="1" operator="lessThan">
      <formula>0</formula>
    </cfRule>
    <cfRule type="cellIs" dxfId="353" priority="63" stopIfTrue="1" operator="greaterThanOrEqual">
      <formula>0</formula>
    </cfRule>
  </conditionalFormatting>
  <conditionalFormatting sqref="D47:J47">
    <cfRule type="expression" dxfId="352" priority="9">
      <formula>$A$48&lt;&gt;0</formula>
    </cfRule>
  </conditionalFormatting>
  <conditionalFormatting sqref="H4:H46">
    <cfRule type="expression" dxfId="351" priority="29">
      <formula>AND(G4&lt;&gt;"",H4="",$I$1&lt;&gt;"x")</formula>
    </cfRule>
  </conditionalFormatting>
  <conditionalFormatting sqref="H4:I46">
    <cfRule type="expression" dxfId="350" priority="27">
      <formula>AND($I4&lt;&gt;0,$I$1&lt;&gt;"ü")</formula>
    </cfRule>
    <cfRule type="expression" dxfId="349" priority="28">
      <formula>$I$1&lt;&gt;"ü"</formula>
    </cfRule>
  </conditionalFormatting>
  <conditionalFormatting sqref="J48:L48 C49:L49 C48:H48">
    <cfRule type="expression" dxfId="347" priority="62">
      <formula>$B$48="x"</formula>
    </cfRule>
  </conditionalFormatting>
  <conditionalFormatting sqref="J48:L49">
    <cfRule type="expression" dxfId="346" priority="61">
      <formula>AND($B$48="x",$J$48&lt;&gt;0)</formula>
    </cfRule>
  </conditionalFormatting>
  <conditionalFormatting sqref="K4:L46">
    <cfRule type="expression" dxfId="345" priority="15362">
      <formula>$B$48="x"</formula>
    </cfRule>
  </conditionalFormatting>
  <conditionalFormatting sqref="M3">
    <cfRule type="cellIs" dxfId="344" priority="25" operator="equal">
      <formula>""</formula>
    </cfRule>
  </conditionalFormatting>
  <conditionalFormatting sqref="M4:M46">
    <cfRule type="expression" dxfId="343" priority="23">
      <formula>ISERROR(J4)</formula>
    </cfRule>
    <cfRule type="cellIs" dxfId="342" priority="24" operator="equal">
      <formula>""</formula>
    </cfRule>
  </conditionalFormatting>
  <conditionalFormatting sqref="M47">
    <cfRule type="expression" dxfId="341" priority="8">
      <formula>$A$48&lt;&gt;0</formula>
    </cfRule>
  </conditionalFormatting>
  <conditionalFormatting sqref="M47:M49">
    <cfRule type="cellIs" dxfId="340" priority="11" operator="equal">
      <formula>""</formula>
    </cfRule>
  </conditionalFormatting>
  <conditionalFormatting sqref="N10:AB10">
    <cfRule type="expression" dxfId="339" priority="6">
      <formula>$N$2=0</formula>
    </cfRule>
  </conditionalFormatting>
  <conditionalFormatting sqref="O11:Z11">
    <cfRule type="cellIs" dxfId="338" priority="47" operator="equal">
      <formula>"Fehler!"</formula>
    </cfRule>
  </conditionalFormatting>
  <conditionalFormatting sqref="O4:AA4">
    <cfRule type="expression" dxfId="334" priority="42">
      <formula>$N$2=0</formula>
    </cfRule>
  </conditionalFormatting>
  <conditionalFormatting sqref="O2:AB3">
    <cfRule type="expression" dxfId="332" priority="1">
      <formula>$N$2=0</formula>
    </cfRule>
  </conditionalFormatting>
  <conditionalFormatting sqref="O5:AB8 O9:AA9">
    <cfRule type="expression" dxfId="331" priority="46">
      <formula>$N$2=0</formula>
    </cfRule>
  </conditionalFormatting>
  <conditionalFormatting sqref="O11:AB14">
    <cfRule type="expression" dxfId="330" priority="3">
      <formula>$N$2=0</formula>
    </cfRule>
  </conditionalFormatting>
  <conditionalFormatting sqref="O47:AB49">
    <cfRule type="expression" dxfId="329" priority="10">
      <formula>$N$2=0</formula>
    </cfRule>
  </conditionalFormatting>
  <dataValidations count="2">
    <dataValidation type="list" allowBlank="1" showInputMessage="1" showErrorMessage="1" sqref="F4:F46" xr:uid="{E2808D70-3107-4E47-9983-90452E628633}">
      <formula1>"Konto,Geldbeutel,Kreditkarte,x"</formula1>
    </dataValidation>
    <dataValidation type="list" allowBlank="1" showInputMessage="1" showErrorMessage="1" sqref="H4:H46" xr:uid="{924D30D9-A42C-4D42-9EF8-73C52BCE87AC}">
      <formula1>"19,7,0,~"</formula1>
    </dataValidation>
  </dataValidations>
  <hyperlinks>
    <hyperlink ref="J2" location="'2022 EÜR'!A1" display="Menü" xr:uid="{BCE7AA99-DBEB-45CB-8BE5-DD468D588FC1}"/>
    <hyperlink ref="J2:L2" location="EÜR!A1" display="EÜR" xr:uid="{C6373822-6FAE-4DED-AAE0-400330BD6E6C}"/>
  </hyperlinks>
  <printOptions horizontalCentered="1"/>
  <pageMargins left="0" right="0" top="0" bottom="0.31496062992125984" header="0" footer="0"/>
  <pageSetup paperSize="9" orientation="portrait" r:id="rId1"/>
  <headerFooter>
    <oddFooter>&amp;L&amp;"Arial,Standard"&amp;8Datei: &amp;Z&amp;F/&amp;A&amp;C&amp;"Arial,Standard"&amp;8Seite &amp;P von &amp;N&amp;R&amp;"Arial,Standard"&amp;8Druck: &amp;D&amp;T Uhr</oddFooter>
  </headerFooter>
  <extLst>
    <ext xmlns:x14="http://schemas.microsoft.com/office/spreadsheetml/2009/9/main" uri="{78C0D931-6437-407d-A8EE-F0AAD7539E65}">
      <x14:conditionalFormattings>
        <x14:conditionalFormatting xmlns:xm="http://schemas.microsoft.com/office/excel/2006/main">
          <x14:cfRule type="cellIs" priority="31" operator="greaterThan" id="{09362BFF-9B10-4637-BC2D-26B0C419B912}">
            <xm:f>EÜR!$I$78</xm:f>
            <x14:dxf>
              <font>
                <b/>
                <i val="0"/>
                <color rgb="FFFFFF00"/>
              </font>
              <fill>
                <patternFill>
                  <bgColor rgb="FFC00000"/>
                </patternFill>
              </fill>
            </x14:dxf>
          </x14:cfRule>
          <x14:cfRule type="cellIs" priority="32" operator="lessThan" id="{A2C1040C-5CED-4DEC-B972-277E864B658E}">
            <xm:f>EÜR!$I$77</xm:f>
            <x14:dxf>
              <font>
                <b/>
                <i val="0"/>
                <color rgb="FFFFFF00"/>
              </font>
              <fill>
                <patternFill>
                  <bgColor rgb="FFC00000"/>
                </patternFill>
              </fill>
            </x14:dxf>
          </x14:cfRule>
          <xm:sqref>B4:B46</xm:sqref>
        </x14:conditionalFormatting>
        <x14:conditionalFormatting xmlns:xm="http://schemas.microsoft.com/office/excel/2006/main">
          <x14:cfRule type="expression" priority="44" id="{36D1FEF8-3811-4B5A-B143-D3F91D237DD8}">
            <xm:f>AND(EÜR!$J$66&lt;&gt;"ü",$H$48&lt;&gt;0)</xm:f>
            <x14:dxf>
              <font>
                <b/>
                <i val="0"/>
                <color rgb="FFFFFF00"/>
              </font>
              <fill>
                <patternFill>
                  <bgColor rgb="FFFF0000"/>
                </patternFill>
              </fill>
            </x14:dxf>
          </x14:cfRule>
          <xm:sqref>H48:I48</xm:sqref>
        </x14:conditionalFormatting>
        <x14:conditionalFormatting xmlns:xm="http://schemas.microsoft.com/office/excel/2006/main">
          <x14:cfRule type="expression" priority="48" id="{A5AEFE56-78DA-4311-BB7D-6C7D6BC693F0}">
            <xm:f>AND(O13&lt;&gt;0,U!L36="!",U!L37="!")</xm:f>
            <x14:dxf>
              <font>
                <b/>
                <i val="0"/>
                <color rgb="FFFF0000"/>
              </font>
              <fill>
                <patternFill>
                  <bgColor rgb="FFFFCCCC"/>
                </patternFill>
              </fill>
            </x14:dxf>
          </x14:cfRule>
          <x14:cfRule type="expression" priority="49" id="{C9263891-9071-417D-8E53-32D0050A81CC}">
            <xm:f>U!L37&lt;&gt;"!"</xm:f>
            <x14:dxf>
              <font>
                <b/>
                <i val="0"/>
                <color rgb="FF006666"/>
              </font>
              <fill>
                <patternFill>
                  <bgColor theme="6" tint="0.39994506668294322"/>
                </patternFill>
              </fill>
            </x14:dxf>
          </x14:cfRule>
          <x14:cfRule type="expression" priority="50" id="{6FAA2AF4-6878-44EB-B320-B229A21E83FF}">
            <xm:f>U!L36&lt;&gt;"!"</xm:f>
            <x14:dxf>
              <font>
                <b/>
                <i val="0"/>
                <color theme="9" tint="-0.499984740745262"/>
              </font>
              <fill>
                <patternFill>
                  <bgColor rgb="FFFFFF99"/>
                </patternFill>
              </fill>
            </x14:dxf>
          </x14:cfRule>
          <xm:sqref>O13:Z13</xm:sqref>
        </x14:conditionalFormatting>
        <x14:conditionalFormatting xmlns:xm="http://schemas.microsoft.com/office/excel/2006/main">
          <x14:cfRule type="expression" priority="2" id="{B8426586-B236-4A87-8DF4-ABDDA76AABFD}">
            <xm:f>EÜR!$J$66="-"</xm:f>
            <x14:dxf>
              <font>
                <b/>
                <i val="0"/>
                <color theme="0"/>
              </font>
              <fill>
                <patternFill>
                  <bgColor theme="0"/>
                </patternFill>
              </fill>
              <border>
                <left/>
                <right/>
                <top/>
                <bottom/>
              </border>
            </x14:dxf>
          </x14:cfRule>
          <xm:sqref>O12:AA14</xm:sqref>
        </x14:conditionalFormatting>
      </x14:conditionalFormattings>
    </ext>
  </extLst>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5F6650-2B96-4ED5-9890-AE8AC0A7C3E0}">
  <sheetPr codeName="Tabelle38">
    <tabColor theme="9" tint="0.39997558519241921"/>
    <pageSetUpPr autoPageBreaks="0"/>
  </sheetPr>
  <dimension ref="A1:AB51"/>
  <sheetViews>
    <sheetView showGridLines="0" showRowColHeaders="0" zoomScaleNormal="100" workbookViewId="0">
      <pane ySplit="3" topLeftCell="A4" activePane="bottomLeft" state="frozen"/>
      <selection activeCell="F4" sqref="F4:F46"/>
      <selection pane="bottomLeft" activeCell="A4" sqref="A4"/>
    </sheetView>
  </sheetViews>
  <sheetFormatPr baseColWidth="10" defaultColWidth="9.77734375" defaultRowHeight="12.75"/>
  <cols>
    <col min="1" max="1" width="0.77734375" style="12" customWidth="1"/>
    <col min="2" max="2" width="7.6640625" style="30" customWidth="1"/>
    <col min="3" max="3" width="21.6640625" style="24" customWidth="1"/>
    <col min="4" max="4" width="7.6640625" style="24" customWidth="1"/>
    <col min="5" max="5" width="6.6640625" style="25" customWidth="1"/>
    <col min="6" max="6" width="9.6640625" style="26" customWidth="1"/>
    <col min="7" max="7" width="9.6640625" style="27" customWidth="1"/>
    <col min="8" max="8" width="2.6640625" style="28" customWidth="1"/>
    <col min="9" max="9" width="6.6640625" style="29" customWidth="1"/>
    <col min="10" max="10" width="9.6640625" style="27" customWidth="1"/>
    <col min="11" max="11" width="2.5546875" style="27" hidden="1" customWidth="1"/>
    <col min="12" max="12" width="1.5546875" style="32" hidden="1" customWidth="1"/>
    <col min="13" max="13" width="0.77734375" style="13" customWidth="1"/>
    <col min="14" max="14" width="1.77734375" style="147" customWidth="1"/>
    <col min="15" max="26" width="8.77734375" style="13" customWidth="1"/>
    <col min="27" max="27" width="10.33203125" style="13" customWidth="1"/>
    <col min="28" max="28" width="8.33203125" style="13" customWidth="1"/>
    <col min="29" max="16384" width="9.77734375" style="13"/>
  </cols>
  <sheetData>
    <row r="1" spans="1:28" s="37" customFormat="1" ht="3" customHeight="1" thickBot="1">
      <c r="A1" s="36"/>
      <c r="B1" s="53" t="str">
        <f>+B48</f>
        <v>ü</v>
      </c>
      <c r="C1" s="54">
        <f>+C49</f>
        <v>0</v>
      </c>
      <c r="D1" s="54"/>
      <c r="E1" s="53">
        <f>+E49</f>
        <v>0</v>
      </c>
      <c r="F1" s="53"/>
      <c r="G1" s="54">
        <f>+G49</f>
        <v>0</v>
      </c>
      <c r="H1" s="53"/>
      <c r="I1" s="338" t="str">
        <f>+EÜR!J66</f>
        <v>-</v>
      </c>
      <c r="J1" s="54">
        <f>+J48</f>
        <v>0</v>
      </c>
      <c r="K1" s="198"/>
      <c r="L1" s="56"/>
      <c r="N1" s="190"/>
    </row>
    <row r="2" spans="1:28" ht="23.1" customHeight="1" thickTop="1" thickBot="1">
      <c r="A2" s="36"/>
      <c r="B2" s="296" t="str">
        <f>+EÜR!D50</f>
        <v>A29</v>
      </c>
      <c r="C2" s="1290" t="str">
        <f>+EÜR!F50</f>
        <v>Kfz-Steuer, -Versicherung, Maut</v>
      </c>
      <c r="D2" s="1291"/>
      <c r="E2" s="1291"/>
      <c r="F2" s="1291"/>
      <c r="G2" s="1291"/>
      <c r="H2" s="1291"/>
      <c r="I2" s="1292"/>
      <c r="J2" s="1227" t="s">
        <v>8</v>
      </c>
      <c r="K2" s="1228"/>
      <c r="L2" s="1229"/>
      <c r="M2" s="134"/>
      <c r="N2" s="190">
        <f>IF(OR(B48="x",N3=1),0,1)</f>
        <v>1</v>
      </c>
      <c r="O2" s="188">
        <f>+EOMONTH(EÜR!$I$3,-1)+1</f>
        <v>46023</v>
      </c>
      <c r="P2" s="188">
        <f t="shared" ref="P2:Z2" si="0">+O3+1</f>
        <v>46054</v>
      </c>
      <c r="Q2" s="188">
        <f t="shared" si="0"/>
        <v>46082</v>
      </c>
      <c r="R2" s="188">
        <f t="shared" si="0"/>
        <v>46113</v>
      </c>
      <c r="S2" s="188">
        <f t="shared" si="0"/>
        <v>46143</v>
      </c>
      <c r="T2" s="188">
        <f t="shared" si="0"/>
        <v>46174</v>
      </c>
      <c r="U2" s="188">
        <f t="shared" si="0"/>
        <v>46204</v>
      </c>
      <c r="V2" s="188">
        <f t="shared" si="0"/>
        <v>46235</v>
      </c>
      <c r="W2" s="188">
        <f t="shared" si="0"/>
        <v>46266</v>
      </c>
      <c r="X2" s="188">
        <f t="shared" si="0"/>
        <v>46296</v>
      </c>
      <c r="Y2" s="188">
        <f t="shared" si="0"/>
        <v>46327</v>
      </c>
      <c r="Z2" s="188">
        <f t="shared" si="0"/>
        <v>46357</v>
      </c>
      <c r="AA2" s="48"/>
    </row>
    <row r="3" spans="1:28" ht="14.25" customHeight="1" thickTop="1">
      <c r="A3" s="36" t="s">
        <v>5</v>
      </c>
      <c r="B3" s="58" t="s">
        <v>1</v>
      </c>
      <c r="C3" s="59" t="s">
        <v>6</v>
      </c>
      <c r="D3" s="60"/>
      <c r="E3" s="310" t="s">
        <v>7</v>
      </c>
      <c r="F3" s="61" t="s">
        <v>4</v>
      </c>
      <c r="G3" s="62" t="s">
        <v>31</v>
      </c>
      <c r="H3" s="63" t="s">
        <v>33</v>
      </c>
      <c r="I3" s="64" t="s">
        <v>32</v>
      </c>
      <c r="J3" s="275" t="s">
        <v>34</v>
      </c>
      <c r="K3" s="199">
        <v>0</v>
      </c>
      <c r="L3" s="65" t="s">
        <v>5</v>
      </c>
      <c r="M3" s="135" t="s">
        <v>5</v>
      </c>
      <c r="N3" s="222">
        <f>IF(SUBTOTAL(109,K3:K47)&lt;&gt;SUM(K3:K47),1,0)</f>
        <v>0</v>
      </c>
      <c r="O3" s="189">
        <f>EOMONTH(O2,0)</f>
        <v>46053</v>
      </c>
      <c r="P3" s="189">
        <f t="shared" ref="P3:Z3" si="1">EOMONTH(P2,0)</f>
        <v>46081</v>
      </c>
      <c r="Q3" s="189">
        <f t="shared" si="1"/>
        <v>46112</v>
      </c>
      <c r="R3" s="189">
        <f t="shared" si="1"/>
        <v>46142</v>
      </c>
      <c r="S3" s="189">
        <f t="shared" si="1"/>
        <v>46173</v>
      </c>
      <c r="T3" s="189">
        <f t="shared" si="1"/>
        <v>46203</v>
      </c>
      <c r="U3" s="189">
        <f t="shared" si="1"/>
        <v>46234</v>
      </c>
      <c r="V3" s="189">
        <f t="shared" si="1"/>
        <v>46265</v>
      </c>
      <c r="W3" s="189">
        <f t="shared" si="1"/>
        <v>46295</v>
      </c>
      <c r="X3" s="189">
        <f t="shared" si="1"/>
        <v>46326</v>
      </c>
      <c r="Y3" s="189">
        <f t="shared" si="1"/>
        <v>46356</v>
      </c>
      <c r="Z3" s="189">
        <f t="shared" si="1"/>
        <v>46387</v>
      </c>
      <c r="AB3" s="14"/>
    </row>
    <row r="4" spans="1:28" ht="13.35" customHeight="1">
      <c r="A4" s="50" t="s">
        <v>5</v>
      </c>
      <c r="B4" s="141"/>
      <c r="C4" s="80"/>
      <c r="D4" s="93"/>
      <c r="E4" s="226"/>
      <c r="F4" s="89"/>
      <c r="G4" s="81"/>
      <c r="H4" s="82"/>
      <c r="I4" s="83" t="str">
        <f t="shared" ref="I4:I44" si="2">IF(G4&lt;&gt;"",+G4-G4/(1+H4/100),"")</f>
        <v/>
      </c>
      <c r="J4" s="361" t="str">
        <f t="shared" ref="J4:J44" si="3">IF(G4&lt;&gt;0,+G4-I4,"")</f>
        <v/>
      </c>
      <c r="K4" s="200">
        <v>1</v>
      </c>
      <c r="L4" s="133">
        <f>IF(B4&lt;$O$2,0,IF(B4&lt;$P$2,1,IF(B4&lt;$Q$2,2,IF(B4&lt;$R$2,3,IF(B4&lt;$S$2,4,IF(B4&lt;$T$2,5,IF(B4&lt;$U$2,6,IF(B4&lt;$V$2,7,IF(B4&lt;$W$2,8,IF(B4&lt;$X$2,9,IF(B4&lt;$Y$2,10,IF(B4&lt;$Z$2,11,IF(B4&lt;=$Z$3,12,0)))))))))))))</f>
        <v>0</v>
      </c>
      <c r="M4" s="135" t="s">
        <v>5</v>
      </c>
      <c r="N4" s="190">
        <f>+N10+AA12+AA16</f>
        <v>0</v>
      </c>
      <c r="O4" s="251" t="s">
        <v>36</v>
      </c>
      <c r="P4" s="251" t="s">
        <v>37</v>
      </c>
      <c r="Q4" s="251" t="s">
        <v>38</v>
      </c>
      <c r="R4" s="251" t="s">
        <v>39</v>
      </c>
      <c r="S4" s="251" t="s">
        <v>40</v>
      </c>
      <c r="T4" s="251" t="s">
        <v>41</v>
      </c>
      <c r="U4" s="251" t="s">
        <v>42</v>
      </c>
      <c r="V4" s="251" t="s">
        <v>43</v>
      </c>
      <c r="W4" s="251" t="s">
        <v>44</v>
      </c>
      <c r="X4" s="251" t="s">
        <v>45</v>
      </c>
      <c r="Y4" s="251" t="s">
        <v>46</v>
      </c>
      <c r="Z4" s="251" t="s">
        <v>47</v>
      </c>
      <c r="AA4" s="1209" t="s">
        <v>255</v>
      </c>
      <c r="AB4" s="1210"/>
    </row>
    <row r="5" spans="1:28" ht="13.35" customHeight="1">
      <c r="A5" s="50" t="s">
        <v>5</v>
      </c>
      <c r="B5" s="141"/>
      <c r="C5" s="80"/>
      <c r="D5" s="93"/>
      <c r="E5" s="226"/>
      <c r="F5" s="89"/>
      <c r="G5" s="81"/>
      <c r="H5" s="82"/>
      <c r="I5" s="83" t="str">
        <f t="shared" si="2"/>
        <v/>
      </c>
      <c r="J5" s="361" t="str">
        <f t="shared" si="3"/>
        <v/>
      </c>
      <c r="K5" s="200">
        <v>2</v>
      </c>
      <c r="L5" s="133">
        <f t="shared" ref="L5:L44" si="4">IF(B5&lt;$O$2,0,IF(B5&lt;$P$2,1,IF(B5&lt;$Q$2,2,IF(B5&lt;$R$2,3,IF(B5&lt;$S$2,4,IF(B5&lt;$T$2,5,IF(B5&lt;$U$2,6,IF(B5&lt;$V$2,7,IF(B5&lt;$W$2,8,IF(B5&lt;$X$2,9,IF(B5&lt;$Y$2,10,IF(B5&lt;$Z$2,11,IF(B5&lt;=$Z$3,12,0)))))))))))))</f>
        <v>0</v>
      </c>
      <c r="M5" s="135" t="s">
        <v>5</v>
      </c>
      <c r="O5" s="252">
        <f>SUMIFS($G$3:$G$47,$L$3:$L$47,1,$F$3:$F$47,"Konto")</f>
        <v>0</v>
      </c>
      <c r="P5" s="252">
        <f>SUMIFS($G$3:$G$47,$L$3:$L$47,2,$F$3:$F$47,"Konto")</f>
        <v>0</v>
      </c>
      <c r="Q5" s="252">
        <f>SUMIFS($G$3:$G$47,$L$3:$L$47,3,$F$3:$F$47,"Konto")</f>
        <v>0</v>
      </c>
      <c r="R5" s="252">
        <f>SUMIFS($G$3:$G$47,$L$3:$L$47,4,$F$3:$F$47,"Konto")</f>
        <v>0</v>
      </c>
      <c r="S5" s="252">
        <f>SUMIFS($G$3:$G$47,$L$3:$L$47,5,$F$3:$F$47,"Konto")</f>
        <v>0</v>
      </c>
      <c r="T5" s="252">
        <f>SUMIFS($G$3:$G$47,$L$3:$L$47,6,$F$3:$F$47,"Konto")</f>
        <v>0</v>
      </c>
      <c r="U5" s="252">
        <f>SUMIFS($G$3:$G$47,$L$3:$L$47,7,$F$3:$F$47,"Konto")</f>
        <v>0</v>
      </c>
      <c r="V5" s="252">
        <f>SUMIFS($G$3:$G$47,$L$3:$L$47,8,$F$3:$F$47,"Konto")</f>
        <v>0</v>
      </c>
      <c r="W5" s="252">
        <f>SUMIFS($G$3:$G$47,$L$3:$L$47,9,$F$3:$F$47,"Konto")</f>
        <v>0</v>
      </c>
      <c r="X5" s="252">
        <f>SUMIFS($G$3:$G$47,$L$3:$L$47,10,$F$3:$F$47,"Konto")</f>
        <v>0</v>
      </c>
      <c r="Y5" s="252">
        <f>SUMIFS($G$3:$G$47,$L$3:$L$47,11,$F$3:$F$47,"Konto")</f>
        <v>0</v>
      </c>
      <c r="Z5" s="252">
        <f>SUMIFS($G$3:$G$47,$L$3:$L$47,12,$F$3:$F$47,"Konto")</f>
        <v>0</v>
      </c>
      <c r="AA5" s="253">
        <f>SUM(O5:Z5)</f>
        <v>0</v>
      </c>
      <c r="AB5" s="254" t="s">
        <v>140</v>
      </c>
    </row>
    <row r="6" spans="1:28" ht="13.35" customHeight="1">
      <c r="A6" s="50" t="s">
        <v>5</v>
      </c>
      <c r="B6" s="141"/>
      <c r="C6" s="80"/>
      <c r="D6" s="93"/>
      <c r="E6" s="226"/>
      <c r="F6" s="89"/>
      <c r="G6" s="81"/>
      <c r="H6" s="82"/>
      <c r="I6" s="83" t="str">
        <f t="shared" si="2"/>
        <v/>
      </c>
      <c r="J6" s="361" t="str">
        <f t="shared" si="3"/>
        <v/>
      </c>
      <c r="K6" s="200">
        <v>3</v>
      </c>
      <c r="L6" s="133">
        <f t="shared" si="4"/>
        <v>0</v>
      </c>
      <c r="M6" s="135" t="s">
        <v>5</v>
      </c>
      <c r="N6" s="190"/>
      <c r="O6" s="252">
        <f>SUMIFS($G$3:$G$47,$L$3:$L$47,1,$F$3:$F$47,"Kreditkarte")</f>
        <v>0</v>
      </c>
      <c r="P6" s="252">
        <f>SUMIFS($G$3:$G$47,$L$3:$L$47,2,$F$3:$F$47,"Kreditkarte")</f>
        <v>0</v>
      </c>
      <c r="Q6" s="252">
        <f>SUMIFS($G$3:$G$47,$L$3:$L$47,3,$F$3:$F$47,"Kreditkarte")</f>
        <v>0</v>
      </c>
      <c r="R6" s="252">
        <f>SUMIFS($G$3:$G$47,$L$3:$L$47,4,$F$3:$F$47,"Kreditkarte")</f>
        <v>0</v>
      </c>
      <c r="S6" s="252">
        <f>SUMIFS($G$3:$G$47,$L$3:$L$47,5,$F$3:$F$47,"Kreditkarte")</f>
        <v>0</v>
      </c>
      <c r="T6" s="252">
        <f>SUMIFS($G$3:$G$47,$L$3:$L$47,6,$F$3:$F$47,"Kreditkarte")</f>
        <v>0</v>
      </c>
      <c r="U6" s="252">
        <f>SUMIFS($G$3:$G$47,$L$3:$L$47,7,$F$3:$F$47,"Kreditkarte")</f>
        <v>0</v>
      </c>
      <c r="V6" s="252">
        <f>SUMIFS($G$3:$G$47,$L$3:$L$47,8,$F$3:$F$47,"Kreditkarte")</f>
        <v>0</v>
      </c>
      <c r="W6" s="252">
        <f>SUMIFS($G$3:$G$47,$L$3:$L$47,9,$F$3:$F$47,"Kreditkarte")</f>
        <v>0</v>
      </c>
      <c r="X6" s="252">
        <f>SUMIFS($G$3:$G$47,$L$3:$L$47,10,$F$3:$F$47,"Kreditkarte")</f>
        <v>0</v>
      </c>
      <c r="Y6" s="252">
        <f>SUMIFS($G$3:$G$47,$L$3:$L$47,11,$F$3:$F$47,"Kreditkarte")</f>
        <v>0</v>
      </c>
      <c r="Z6" s="252">
        <f>SUMIFS($G$3:$G$47,$L$3:$L$47,12,$F$3:$F$47,"Kreditkarte")</f>
        <v>0</v>
      </c>
      <c r="AA6" s="255">
        <f t="shared" ref="AA6:AA8" si="5">SUM(O6:Z6)</f>
        <v>0</v>
      </c>
      <c r="AB6" s="256" t="s">
        <v>142</v>
      </c>
    </row>
    <row r="7" spans="1:28" ht="13.35" customHeight="1">
      <c r="A7" s="50" t="s">
        <v>5</v>
      </c>
      <c r="B7" s="141"/>
      <c r="C7" s="80"/>
      <c r="D7" s="93"/>
      <c r="E7" s="226"/>
      <c r="F7" s="89"/>
      <c r="G7" s="81"/>
      <c r="H7" s="82"/>
      <c r="I7" s="83" t="str">
        <f t="shared" si="2"/>
        <v/>
      </c>
      <c r="J7" s="361" t="str">
        <f t="shared" si="3"/>
        <v/>
      </c>
      <c r="K7" s="200">
        <v>4</v>
      </c>
      <c r="L7" s="133">
        <f t="shared" si="4"/>
        <v>0</v>
      </c>
      <c r="M7" s="135" t="s">
        <v>5</v>
      </c>
      <c r="O7" s="252">
        <f>SUMIFS($G$3:$G$47,$L$3:$L$47,1,$F$3:$F$47,"Geldbeutel")</f>
        <v>0</v>
      </c>
      <c r="P7" s="252">
        <f>SUMIFS($G$3:$G$47,$L$3:$L$47,2,$F$3:$F$47,"Geldbeutel")</f>
        <v>0</v>
      </c>
      <c r="Q7" s="252">
        <f>SUMIFS($G$3:$G$47,$L$3:$L$47,3,$F$3:$F$47,"Geldbeutel")</f>
        <v>0</v>
      </c>
      <c r="R7" s="252">
        <f>SUMIFS($G$3:$G$47,$L$3:$L$47,4,$F$3:$F$47,"Geldbeutel")</f>
        <v>0</v>
      </c>
      <c r="S7" s="252">
        <f>SUMIFS($G$3:$G$47,$L$3:$L$47,5,$F$3:$F$47,"Geldbeutel")</f>
        <v>0</v>
      </c>
      <c r="T7" s="252">
        <f>SUMIFS($G$3:$G$47,$L$3:$L$47,6,$F$3:$F$47,"Geldbeutel")</f>
        <v>0</v>
      </c>
      <c r="U7" s="252">
        <f>SUMIFS($G$3:$G$47,$L$3:$L$47,7,$F$3:$F$47,"Geldbeutel")</f>
        <v>0</v>
      </c>
      <c r="V7" s="252">
        <f>SUMIFS($G$3:$G$47,$L$3:$L$47,8,$F$3:$F$47,"Geldbeutel")</f>
        <v>0</v>
      </c>
      <c r="W7" s="252">
        <f>SUMIFS($G$3:$G$47,$L$3:$L$47,9,$F$3:$F$47,"Geldbeutel")</f>
        <v>0</v>
      </c>
      <c r="X7" s="252">
        <f>SUMIFS($G$3:$G$47,$L$3:$L$47,10,$F$3:$F$47,"Geldbeutel")</f>
        <v>0</v>
      </c>
      <c r="Y7" s="252">
        <f>SUMIFS($G$3:$G$47,$L$3:$L$47,11,$F$3:$F$47,"Geldbeutel")</f>
        <v>0</v>
      </c>
      <c r="Z7" s="252">
        <f>SUMIFS($G$3:$G$47,$L$3:$L$47,12,$F$3:$F$47,"Geldbeutel")</f>
        <v>0</v>
      </c>
      <c r="AA7" s="253">
        <f t="shared" si="5"/>
        <v>0</v>
      </c>
      <c r="AB7" s="254" t="s">
        <v>139</v>
      </c>
    </row>
    <row r="8" spans="1:28" ht="13.35" customHeight="1">
      <c r="A8" s="50" t="s">
        <v>5</v>
      </c>
      <c r="B8" s="141"/>
      <c r="C8" s="80"/>
      <c r="D8" s="93"/>
      <c r="E8" s="226"/>
      <c r="F8" s="89"/>
      <c r="G8" s="81"/>
      <c r="H8" s="82"/>
      <c r="I8" s="83" t="str">
        <f t="shared" si="2"/>
        <v/>
      </c>
      <c r="J8" s="361" t="str">
        <f t="shared" si="3"/>
        <v/>
      </c>
      <c r="K8" s="200">
        <v>5</v>
      </c>
      <c r="L8" s="133">
        <f t="shared" si="4"/>
        <v>0</v>
      </c>
      <c r="M8" s="135" t="s">
        <v>5</v>
      </c>
      <c r="O8" s="252">
        <f>SUMIFS($G$3:$G$47,$L$3:$L$47,1,$F$3:$F$47,"X")</f>
        <v>0</v>
      </c>
      <c r="P8" s="252">
        <f>SUMIFS($G$3:$G$47,$L$3:$L$47,2,$F$3:$F$47,"X")</f>
        <v>0</v>
      </c>
      <c r="Q8" s="252">
        <f>SUMIFS($G$3:$G$47,$L$3:$L$47,3,$F$3:$F$47,"X")</f>
        <v>0</v>
      </c>
      <c r="R8" s="252">
        <f>SUMIFS($G$3:$G$47,$L$3:$L$47,4,$F$3:$F$47,"X")</f>
        <v>0</v>
      </c>
      <c r="S8" s="252">
        <f>SUMIFS($G$3:$G$47,$L$3:$L$47,5,$F$3:$F$47,"X")</f>
        <v>0</v>
      </c>
      <c r="T8" s="252">
        <f>SUMIFS($G$3:$G$47,$L$3:$L$47,6,$F$3:$F$47,"X")</f>
        <v>0</v>
      </c>
      <c r="U8" s="252">
        <f>SUMIFS($G$3:$G$47,$L$3:$L$47,7,$F$3:$F$47,"X")</f>
        <v>0</v>
      </c>
      <c r="V8" s="252">
        <f>SUMIFS($G$3:$G$47,$L$3:$L$47,8,$F$3:$F$47,"X")</f>
        <v>0</v>
      </c>
      <c r="W8" s="252">
        <f>SUMIFS($G$3:$G$47,$L$3:$L$47,9,$F$3:$F$47,"X")</f>
        <v>0</v>
      </c>
      <c r="X8" s="252">
        <f>SUMIFS($G$3:$G$47,$L$3:$L$47,10,$F$3:$F$47,"X")</f>
        <v>0</v>
      </c>
      <c r="Y8" s="252">
        <f>SUMIFS($G$3:$G$47,$L$3:$L$47,11,$F$3:$F$47,"X")</f>
        <v>0</v>
      </c>
      <c r="Z8" s="252">
        <f>SUMIFS($G$3:$G$47,$L$3:$L$47,12,$F$3:$F$47,"X")</f>
        <v>0</v>
      </c>
      <c r="AA8" s="255">
        <f t="shared" si="5"/>
        <v>0</v>
      </c>
      <c r="AB8" s="256" t="s">
        <v>192</v>
      </c>
    </row>
    <row r="9" spans="1:28" ht="13.35" customHeight="1">
      <c r="A9" s="50" t="s">
        <v>5</v>
      </c>
      <c r="B9" s="141"/>
      <c r="C9" s="80"/>
      <c r="D9" s="93"/>
      <c r="E9" s="226"/>
      <c r="F9" s="89"/>
      <c r="G9" s="81"/>
      <c r="H9" s="82"/>
      <c r="I9" s="83" t="str">
        <f t="shared" si="2"/>
        <v/>
      </c>
      <c r="J9" s="361" t="str">
        <f t="shared" si="3"/>
        <v/>
      </c>
      <c r="K9" s="200">
        <v>6</v>
      </c>
      <c r="L9" s="133">
        <f t="shared" si="4"/>
        <v>0</v>
      </c>
      <c r="M9" s="135" t="s">
        <v>5</v>
      </c>
      <c r="N9" s="191">
        <f>IF(OR(AND(AA14&lt;&gt;0,B48="x"),(O14+AA13)&lt;&gt;H48),1,0)</f>
        <v>0</v>
      </c>
      <c r="O9" s="257">
        <f>SUM(O5:O8)</f>
        <v>0</v>
      </c>
      <c r="P9" s="257">
        <f t="shared" ref="P9:Z9" si="6">SUM(P5:P8)</f>
        <v>0</v>
      </c>
      <c r="Q9" s="257">
        <f t="shared" si="6"/>
        <v>0</v>
      </c>
      <c r="R9" s="257">
        <f t="shared" si="6"/>
        <v>0</v>
      </c>
      <c r="S9" s="257">
        <f t="shared" si="6"/>
        <v>0</v>
      </c>
      <c r="T9" s="257">
        <f t="shared" si="6"/>
        <v>0</v>
      </c>
      <c r="U9" s="257">
        <f t="shared" si="6"/>
        <v>0</v>
      </c>
      <c r="V9" s="257">
        <f t="shared" si="6"/>
        <v>0</v>
      </c>
      <c r="W9" s="257">
        <f t="shared" si="6"/>
        <v>0</v>
      </c>
      <c r="X9" s="257">
        <f t="shared" si="6"/>
        <v>0</v>
      </c>
      <c r="Y9" s="257">
        <f t="shared" si="6"/>
        <v>0</v>
      </c>
      <c r="Z9" s="257">
        <f t="shared" si="6"/>
        <v>0</v>
      </c>
      <c r="AA9" s="1211" t="s">
        <v>197</v>
      </c>
      <c r="AB9" s="1212"/>
    </row>
    <row r="10" spans="1:28" ht="13.35" customHeight="1">
      <c r="A10" s="50" t="s">
        <v>5</v>
      </c>
      <c r="B10" s="141"/>
      <c r="C10" s="80"/>
      <c r="D10" s="93"/>
      <c r="E10" s="226"/>
      <c r="F10" s="89"/>
      <c r="G10" s="81"/>
      <c r="H10" s="82"/>
      <c r="I10" s="83" t="str">
        <f t="shared" si="2"/>
        <v/>
      </c>
      <c r="J10" s="361" t="str">
        <f t="shared" si="3"/>
        <v/>
      </c>
      <c r="K10" s="200">
        <v>7</v>
      </c>
      <c r="L10" s="133">
        <f t="shared" si="4"/>
        <v>0</v>
      </c>
      <c r="M10" s="135" t="s">
        <v>5</v>
      </c>
      <c r="N10" s="259">
        <f>IF(O10+AA10&lt;&gt;G48,1,0)</f>
        <v>0</v>
      </c>
      <c r="O10" s="1230">
        <f>SUM(O5:Z8)</f>
        <v>0</v>
      </c>
      <c r="P10" s="1231"/>
      <c r="Q10" s="1231"/>
      <c r="R10" s="1231"/>
      <c r="S10" s="1231"/>
      <c r="T10" s="1231"/>
      <c r="U10" s="1231"/>
      <c r="V10" s="1231"/>
      <c r="W10" s="1231"/>
      <c r="X10" s="1231"/>
      <c r="Y10" s="1231"/>
      <c r="Z10" s="1232"/>
      <c r="AA10" s="292">
        <f>+G48-AA7-AA6-AA5-AA8</f>
        <v>0</v>
      </c>
      <c r="AB10" s="293" t="s">
        <v>205</v>
      </c>
    </row>
    <row r="11" spans="1:28" ht="13.35" customHeight="1">
      <c r="A11" s="50" t="s">
        <v>5</v>
      </c>
      <c r="B11" s="141"/>
      <c r="C11" s="80"/>
      <c r="D11" s="93"/>
      <c r="E11" s="226"/>
      <c r="F11" s="89"/>
      <c r="G11" s="81"/>
      <c r="H11" s="82"/>
      <c r="I11" s="83" t="str">
        <f t="shared" si="2"/>
        <v/>
      </c>
      <c r="J11" s="361" t="str">
        <f t="shared" si="3"/>
        <v/>
      </c>
      <c r="K11" s="200">
        <v>8</v>
      </c>
      <c r="L11" s="133">
        <f t="shared" si="4"/>
        <v>0</v>
      </c>
      <c r="M11" s="135" t="s">
        <v>5</v>
      </c>
      <c r="O11" s="1219" t="str">
        <f>IF(N4&gt;0,"Fehler!","")</f>
        <v/>
      </c>
      <c r="P11" s="1219"/>
      <c r="Q11" s="1219"/>
      <c r="R11" s="1219"/>
      <c r="S11" s="1219"/>
      <c r="T11" s="1219"/>
      <c r="U11" s="1219"/>
      <c r="V11" s="1219"/>
      <c r="W11" s="1219"/>
      <c r="X11" s="1219"/>
      <c r="Y11" s="1219"/>
      <c r="Z11" s="1219"/>
    </row>
    <row r="12" spans="1:28" ht="13.35" customHeight="1">
      <c r="A12" s="50" t="s">
        <v>5</v>
      </c>
      <c r="B12" s="141"/>
      <c r="C12" s="80"/>
      <c r="D12" s="93"/>
      <c r="E12" s="226"/>
      <c r="F12" s="89"/>
      <c r="G12" s="81"/>
      <c r="H12" s="82"/>
      <c r="I12" s="83" t="str">
        <f t="shared" si="2"/>
        <v/>
      </c>
      <c r="J12" s="361" t="str">
        <f t="shared" si="3"/>
        <v/>
      </c>
      <c r="K12" s="200">
        <v>9</v>
      </c>
      <c r="L12" s="133">
        <f t="shared" si="4"/>
        <v>0</v>
      </c>
      <c r="M12" s="135" t="s">
        <v>5</v>
      </c>
      <c r="O12" s="203" t="s">
        <v>36</v>
      </c>
      <c r="P12" s="203" t="s">
        <v>37</v>
      </c>
      <c r="Q12" s="203" t="s">
        <v>38</v>
      </c>
      <c r="R12" s="203" t="s">
        <v>39</v>
      </c>
      <c r="S12" s="203" t="s">
        <v>40</v>
      </c>
      <c r="T12" s="203" t="s">
        <v>41</v>
      </c>
      <c r="U12" s="203" t="s">
        <v>42</v>
      </c>
      <c r="V12" s="203" t="s">
        <v>43</v>
      </c>
      <c r="W12" s="203" t="s">
        <v>44</v>
      </c>
      <c r="X12" s="203" t="s">
        <v>45</v>
      </c>
      <c r="Y12" s="203" t="s">
        <v>46</v>
      </c>
      <c r="Z12" s="203" t="s">
        <v>47</v>
      </c>
      <c r="AA12" s="221">
        <f>IF(O14+AA13&lt;&gt;H48,1,0)</f>
        <v>0</v>
      </c>
    </row>
    <row r="13" spans="1:28" ht="13.35" customHeight="1">
      <c r="A13" s="50" t="s">
        <v>5</v>
      </c>
      <c r="B13" s="141"/>
      <c r="C13" s="80"/>
      <c r="D13" s="93"/>
      <c r="E13" s="226"/>
      <c r="F13" s="89"/>
      <c r="G13" s="81"/>
      <c r="H13" s="82"/>
      <c r="I13" s="83" t="str">
        <f t="shared" si="2"/>
        <v/>
      </c>
      <c r="J13" s="361" t="str">
        <f t="shared" si="3"/>
        <v/>
      </c>
      <c r="K13" s="200">
        <v>10</v>
      </c>
      <c r="L13" s="133">
        <f t="shared" si="4"/>
        <v>0</v>
      </c>
      <c r="M13" s="135" t="s">
        <v>5</v>
      </c>
      <c r="O13" s="187">
        <f>SUMIF($L$3:$L$47,1,$I$3:$I$47)</f>
        <v>0</v>
      </c>
      <c r="P13" s="187">
        <f>SUMIF($L$3:$L$47,2,$I$3:$I$47)</f>
        <v>0</v>
      </c>
      <c r="Q13" s="187">
        <f>SUMIF($L$3:$L$47,3,$I$3:$I$47)</f>
        <v>0</v>
      </c>
      <c r="R13" s="187">
        <f>SUMIF($L$3:$L$47,4,$I$3:$I$47)</f>
        <v>0</v>
      </c>
      <c r="S13" s="187">
        <f>SUMIF($L$3:$L$47,5,$I$3:$I$47)</f>
        <v>0</v>
      </c>
      <c r="T13" s="187">
        <f>SUMIF($L$3:$L$47,6,$I$3:$I$47)</f>
        <v>0</v>
      </c>
      <c r="U13" s="187">
        <f>SUMIF($L$3:$L$47,7,$I$3:$I$47)</f>
        <v>0</v>
      </c>
      <c r="V13" s="187">
        <f>SUMIF($L$3:$L$47,8,$I$3:$I$47)</f>
        <v>0</v>
      </c>
      <c r="W13" s="187">
        <f>SUMIF($L$3:$L$47,9,$I$3:$I$47)</f>
        <v>0</v>
      </c>
      <c r="X13" s="187">
        <f>SUMIF($L$3:$L$47,10,$I$3:$I$47)</f>
        <v>0</v>
      </c>
      <c r="Y13" s="187">
        <f>SUMIF($L$3:$L$47,11,$I$3:$I$47)</f>
        <v>0</v>
      </c>
      <c r="Z13" s="187">
        <f>SUMIF($L$3:$L$47,12,$I$3:$I$47)</f>
        <v>0</v>
      </c>
      <c r="AA13" s="1220">
        <f>SUMIF($L$3:$L$47,0,$I$3:$I$47)</f>
        <v>0</v>
      </c>
      <c r="AB13" s="1221"/>
    </row>
    <row r="14" spans="1:28" ht="13.35" customHeight="1">
      <c r="A14" s="50" t="s">
        <v>5</v>
      </c>
      <c r="B14" s="141"/>
      <c r="C14" s="80"/>
      <c r="D14" s="93"/>
      <c r="E14" s="226"/>
      <c r="F14" s="89"/>
      <c r="G14" s="81"/>
      <c r="H14" s="82"/>
      <c r="I14" s="83" t="str">
        <f t="shared" si="2"/>
        <v/>
      </c>
      <c r="J14" s="361" t="str">
        <f t="shared" si="3"/>
        <v/>
      </c>
      <c r="K14" s="200">
        <v>11</v>
      </c>
      <c r="L14" s="133">
        <f t="shared" si="4"/>
        <v>0</v>
      </c>
      <c r="M14" s="135" t="s">
        <v>5</v>
      </c>
      <c r="O14" s="1299">
        <f>SUM(O13:Z13)</f>
        <v>0</v>
      </c>
      <c r="P14" s="1300"/>
      <c r="Q14" s="1300"/>
      <c r="R14" s="1300"/>
      <c r="S14" s="1300"/>
      <c r="T14" s="1300"/>
      <c r="U14" s="1300"/>
      <c r="V14" s="1300"/>
      <c r="W14" s="1300"/>
      <c r="X14" s="1300"/>
      <c r="Y14" s="1300"/>
      <c r="Z14" s="1301"/>
      <c r="AA14" s="1222">
        <f>SUM(O13:Z13)+AA13</f>
        <v>0</v>
      </c>
      <c r="AB14" s="1223"/>
    </row>
    <row r="15" spans="1:28" ht="13.35" customHeight="1">
      <c r="A15" s="50" t="s">
        <v>5</v>
      </c>
      <c r="B15" s="141"/>
      <c r="C15" s="260"/>
      <c r="D15" s="93"/>
      <c r="E15" s="226"/>
      <c r="F15" s="89"/>
      <c r="G15" s="81"/>
      <c r="H15" s="82"/>
      <c r="I15" s="83" t="str">
        <f t="shared" si="2"/>
        <v/>
      </c>
      <c r="J15" s="361" t="str">
        <f t="shared" si="3"/>
        <v/>
      </c>
      <c r="K15" s="200">
        <v>12</v>
      </c>
      <c r="L15" s="133">
        <f t="shared" si="4"/>
        <v>0</v>
      </c>
      <c r="M15" s="135" t="s">
        <v>5</v>
      </c>
      <c r="O15" s="244"/>
      <c r="P15" s="244"/>
      <c r="Q15" s="244"/>
      <c r="R15" s="244"/>
      <c r="S15" s="244"/>
      <c r="T15" s="244"/>
      <c r="U15" s="244"/>
      <c r="V15" s="244"/>
      <c r="W15" s="244"/>
      <c r="X15" s="244"/>
      <c r="Y15" s="244"/>
      <c r="Z15" s="244"/>
      <c r="AA15" s="244"/>
      <c r="AB15" s="244"/>
    </row>
    <row r="16" spans="1:28" ht="13.35" customHeight="1">
      <c r="A16" s="50" t="s">
        <v>5</v>
      </c>
      <c r="B16" s="141"/>
      <c r="C16" s="80"/>
      <c r="D16" s="93"/>
      <c r="E16" s="226"/>
      <c r="F16" s="89"/>
      <c r="G16" s="81"/>
      <c r="H16" s="82"/>
      <c r="I16" s="83" t="str">
        <f t="shared" si="2"/>
        <v/>
      </c>
      <c r="J16" s="361" t="str">
        <f t="shared" si="3"/>
        <v/>
      </c>
      <c r="K16" s="200">
        <v>13</v>
      </c>
      <c r="L16" s="133">
        <f t="shared" si="4"/>
        <v>0</v>
      </c>
      <c r="M16" s="135" t="s">
        <v>5</v>
      </c>
      <c r="O16" s="244"/>
      <c r="P16" s="244"/>
      <c r="Q16" s="244"/>
      <c r="R16" s="244"/>
      <c r="S16" s="244"/>
      <c r="T16" s="244"/>
      <c r="U16" s="244"/>
      <c r="V16" s="244"/>
      <c r="W16" s="244"/>
      <c r="X16" s="244"/>
      <c r="Y16" s="244"/>
      <c r="Z16" s="244"/>
      <c r="AA16" s="244"/>
      <c r="AB16" s="244"/>
    </row>
    <row r="17" spans="1:28" ht="13.35" customHeight="1">
      <c r="A17" s="50" t="s">
        <v>5</v>
      </c>
      <c r="B17" s="141"/>
      <c r="C17" s="80"/>
      <c r="D17" s="93"/>
      <c r="E17" s="226"/>
      <c r="F17" s="89"/>
      <c r="G17" s="81"/>
      <c r="H17" s="82"/>
      <c r="I17" s="83" t="str">
        <f t="shared" si="2"/>
        <v/>
      </c>
      <c r="J17" s="361" t="str">
        <f t="shared" si="3"/>
        <v/>
      </c>
      <c r="K17" s="200">
        <v>14</v>
      </c>
      <c r="L17" s="133">
        <f t="shared" si="4"/>
        <v>0</v>
      </c>
      <c r="M17" s="135" t="s">
        <v>5</v>
      </c>
      <c r="O17" s="244"/>
      <c r="P17" s="244"/>
      <c r="Q17" s="244"/>
      <c r="R17" s="244"/>
      <c r="S17" s="244"/>
      <c r="T17" s="244"/>
      <c r="U17" s="244"/>
      <c r="V17" s="244"/>
      <c r="W17" s="244"/>
      <c r="X17" s="244"/>
      <c r="Y17" s="244"/>
      <c r="Z17" s="244"/>
      <c r="AA17" s="244"/>
      <c r="AB17" s="244"/>
    </row>
    <row r="18" spans="1:28" ht="13.35" customHeight="1">
      <c r="A18" s="50" t="s">
        <v>5</v>
      </c>
      <c r="B18" s="141"/>
      <c r="C18" s="80"/>
      <c r="D18" s="93"/>
      <c r="E18" s="226"/>
      <c r="F18" s="89"/>
      <c r="G18" s="81"/>
      <c r="H18" s="82"/>
      <c r="I18" s="83" t="str">
        <f t="shared" si="2"/>
        <v/>
      </c>
      <c r="J18" s="361" t="str">
        <f t="shared" si="3"/>
        <v/>
      </c>
      <c r="K18" s="200">
        <v>15</v>
      </c>
      <c r="L18" s="133">
        <f t="shared" si="4"/>
        <v>0</v>
      </c>
      <c r="M18" s="135" t="s">
        <v>5</v>
      </c>
      <c r="O18" s="244"/>
      <c r="P18" s="244"/>
      <c r="Q18" s="244"/>
      <c r="R18" s="244"/>
      <c r="S18" s="244"/>
      <c r="T18" s="244"/>
      <c r="U18" s="244"/>
      <c r="V18" s="244"/>
      <c r="W18" s="244"/>
      <c r="X18" s="244"/>
      <c r="Y18" s="244"/>
      <c r="Z18" s="244"/>
      <c r="AA18" s="244"/>
      <c r="AB18" s="244"/>
    </row>
    <row r="19" spans="1:28" ht="13.35" customHeight="1">
      <c r="A19" s="50" t="s">
        <v>5</v>
      </c>
      <c r="B19" s="141"/>
      <c r="C19" s="80"/>
      <c r="D19" s="93"/>
      <c r="E19" s="226"/>
      <c r="F19" s="89"/>
      <c r="G19" s="81"/>
      <c r="H19" s="82"/>
      <c r="I19" s="83" t="str">
        <f t="shared" si="2"/>
        <v/>
      </c>
      <c r="J19" s="361" t="str">
        <f t="shared" si="3"/>
        <v/>
      </c>
      <c r="K19" s="200">
        <v>16</v>
      </c>
      <c r="L19" s="133">
        <f t="shared" si="4"/>
        <v>0</v>
      </c>
      <c r="M19" s="135" t="s">
        <v>5</v>
      </c>
      <c r="O19" s="244"/>
      <c r="P19" s="244"/>
      <c r="Q19" s="244"/>
      <c r="R19" s="244"/>
      <c r="S19" s="244"/>
      <c r="T19" s="244"/>
      <c r="U19" s="244"/>
      <c r="V19" s="244"/>
      <c r="W19" s="244"/>
      <c r="X19" s="244"/>
      <c r="Y19" s="244"/>
      <c r="Z19" s="244"/>
      <c r="AA19" s="244"/>
      <c r="AB19" s="244"/>
    </row>
    <row r="20" spans="1:28" ht="13.35" customHeight="1">
      <c r="A20" s="50" t="s">
        <v>5</v>
      </c>
      <c r="B20" s="141"/>
      <c r="C20" s="80"/>
      <c r="D20" s="93"/>
      <c r="E20" s="226"/>
      <c r="F20" s="89"/>
      <c r="G20" s="81"/>
      <c r="H20" s="82"/>
      <c r="I20" s="83" t="str">
        <f t="shared" si="2"/>
        <v/>
      </c>
      <c r="J20" s="361" t="str">
        <f t="shared" si="3"/>
        <v/>
      </c>
      <c r="K20" s="200">
        <v>17</v>
      </c>
      <c r="L20" s="133">
        <f t="shared" si="4"/>
        <v>0</v>
      </c>
      <c r="M20" s="135" t="s">
        <v>5</v>
      </c>
      <c r="O20" s="244"/>
      <c r="P20" s="244"/>
      <c r="Q20" s="244"/>
      <c r="R20" s="244"/>
      <c r="S20" s="244"/>
      <c r="T20" s="244"/>
      <c r="U20" s="244"/>
      <c r="V20" s="244"/>
      <c r="W20" s="244"/>
      <c r="X20" s="244"/>
      <c r="Y20" s="244"/>
      <c r="Z20" s="244"/>
      <c r="AA20" s="244"/>
      <c r="AB20" s="244"/>
    </row>
    <row r="21" spans="1:28" ht="13.35" customHeight="1">
      <c r="A21" s="50" t="s">
        <v>5</v>
      </c>
      <c r="B21" s="141"/>
      <c r="C21" s="80"/>
      <c r="D21" s="93"/>
      <c r="E21" s="226"/>
      <c r="F21" s="89"/>
      <c r="G21" s="81"/>
      <c r="H21" s="82"/>
      <c r="I21" s="83" t="str">
        <f t="shared" si="2"/>
        <v/>
      </c>
      <c r="J21" s="361" t="str">
        <f t="shared" si="3"/>
        <v/>
      </c>
      <c r="K21" s="200">
        <v>18</v>
      </c>
      <c r="L21" s="133">
        <f t="shared" si="4"/>
        <v>0</v>
      </c>
      <c r="M21" s="135" t="s">
        <v>5</v>
      </c>
      <c r="O21" s="244"/>
      <c r="P21" s="244"/>
      <c r="Q21" s="244"/>
      <c r="R21" s="244"/>
      <c r="S21" s="244"/>
      <c r="T21" s="244"/>
      <c r="U21" s="244"/>
      <c r="V21" s="244"/>
      <c r="W21" s="244"/>
      <c r="X21" s="244"/>
      <c r="Y21" s="244"/>
      <c r="Z21" s="244"/>
      <c r="AA21" s="244"/>
      <c r="AB21" s="244"/>
    </row>
    <row r="22" spans="1:28" ht="13.35" customHeight="1">
      <c r="A22" s="50" t="s">
        <v>5</v>
      </c>
      <c r="B22" s="141"/>
      <c r="C22" s="80"/>
      <c r="D22" s="93"/>
      <c r="E22" s="226"/>
      <c r="F22" s="89"/>
      <c r="G22" s="81"/>
      <c r="H22" s="82"/>
      <c r="I22" s="83" t="str">
        <f t="shared" si="2"/>
        <v/>
      </c>
      <c r="J22" s="361" t="str">
        <f t="shared" si="3"/>
        <v/>
      </c>
      <c r="K22" s="200">
        <v>19</v>
      </c>
      <c r="L22" s="133">
        <f t="shared" si="4"/>
        <v>0</v>
      </c>
      <c r="M22" s="135" t="s">
        <v>5</v>
      </c>
      <c r="O22" s="244"/>
      <c r="P22" s="244"/>
      <c r="Q22" s="244"/>
      <c r="R22" s="244"/>
      <c r="S22" s="244"/>
      <c r="T22" s="244"/>
      <c r="U22" s="244"/>
      <c r="V22" s="244"/>
      <c r="W22" s="244"/>
      <c r="X22" s="244"/>
      <c r="Y22" s="244"/>
      <c r="Z22" s="244"/>
      <c r="AA22" s="244"/>
      <c r="AB22" s="244"/>
    </row>
    <row r="23" spans="1:28" ht="13.35" customHeight="1">
      <c r="A23" s="50" t="s">
        <v>5</v>
      </c>
      <c r="B23" s="141"/>
      <c r="C23" s="80"/>
      <c r="D23" s="94"/>
      <c r="E23" s="226"/>
      <c r="F23" s="89"/>
      <c r="G23" s="81"/>
      <c r="H23" s="82"/>
      <c r="I23" s="83" t="str">
        <f t="shared" si="2"/>
        <v/>
      </c>
      <c r="J23" s="361" t="str">
        <f t="shared" si="3"/>
        <v/>
      </c>
      <c r="K23" s="200">
        <v>20</v>
      </c>
      <c r="L23" s="133">
        <f t="shared" si="4"/>
        <v>0</v>
      </c>
      <c r="M23" s="135" t="s">
        <v>5</v>
      </c>
      <c r="O23" s="244"/>
      <c r="P23" s="244"/>
      <c r="Q23" s="244"/>
      <c r="R23" s="244"/>
      <c r="S23" s="244"/>
      <c r="T23" s="244"/>
      <c r="U23" s="244"/>
      <c r="V23" s="244"/>
      <c r="W23" s="244"/>
      <c r="X23" s="244"/>
      <c r="Y23" s="244"/>
      <c r="Z23" s="244"/>
      <c r="AA23" s="244"/>
      <c r="AB23" s="244"/>
    </row>
    <row r="24" spans="1:28" ht="13.35" customHeight="1">
      <c r="A24" s="50" t="s">
        <v>5</v>
      </c>
      <c r="B24" s="141"/>
      <c r="C24" s="80"/>
      <c r="D24" s="93"/>
      <c r="E24" s="226"/>
      <c r="F24" s="89"/>
      <c r="G24" s="81"/>
      <c r="H24" s="82"/>
      <c r="I24" s="83" t="str">
        <f t="shared" si="2"/>
        <v/>
      </c>
      <c r="J24" s="361" t="str">
        <f t="shared" si="3"/>
        <v/>
      </c>
      <c r="K24" s="200">
        <v>21</v>
      </c>
      <c r="L24" s="133">
        <f t="shared" si="4"/>
        <v>0</v>
      </c>
      <c r="M24" s="135" t="s">
        <v>5</v>
      </c>
      <c r="O24" s="244"/>
      <c r="P24" s="244"/>
      <c r="Q24" s="244"/>
      <c r="R24" s="244"/>
      <c r="S24" s="244"/>
      <c r="T24" s="244"/>
      <c r="U24" s="244"/>
      <c r="V24" s="244"/>
      <c r="W24" s="244"/>
      <c r="X24" s="244"/>
      <c r="Y24" s="244"/>
      <c r="Z24" s="244"/>
      <c r="AA24" s="244"/>
      <c r="AB24" s="244"/>
    </row>
    <row r="25" spans="1:28" ht="13.35" customHeight="1">
      <c r="A25" s="50" t="s">
        <v>5</v>
      </c>
      <c r="B25" s="141"/>
      <c r="C25" s="80"/>
      <c r="D25" s="93"/>
      <c r="E25" s="226"/>
      <c r="F25" s="89"/>
      <c r="G25" s="81"/>
      <c r="H25" s="82"/>
      <c r="I25" s="83" t="str">
        <f t="shared" si="2"/>
        <v/>
      </c>
      <c r="J25" s="361" t="str">
        <f t="shared" si="3"/>
        <v/>
      </c>
      <c r="K25" s="200">
        <v>22</v>
      </c>
      <c r="L25" s="133">
        <f t="shared" si="4"/>
        <v>0</v>
      </c>
      <c r="M25" s="135" t="s">
        <v>5</v>
      </c>
      <c r="O25" s="244"/>
      <c r="P25" s="244"/>
      <c r="Q25" s="244"/>
      <c r="R25" s="244"/>
      <c r="S25" s="244"/>
      <c r="T25" s="244"/>
      <c r="U25" s="244"/>
      <c r="V25" s="244"/>
      <c r="W25" s="244"/>
      <c r="X25" s="244"/>
      <c r="Y25" s="244"/>
      <c r="Z25" s="244"/>
      <c r="AA25" s="244"/>
      <c r="AB25" s="244"/>
    </row>
    <row r="26" spans="1:28" ht="13.35" customHeight="1">
      <c r="A26" s="50" t="s">
        <v>5</v>
      </c>
      <c r="B26" s="141"/>
      <c r="C26" s="80"/>
      <c r="D26" s="93"/>
      <c r="E26" s="226"/>
      <c r="F26" s="89"/>
      <c r="G26" s="81"/>
      <c r="H26" s="82"/>
      <c r="I26" s="83" t="str">
        <f t="shared" si="2"/>
        <v/>
      </c>
      <c r="J26" s="361" t="str">
        <f t="shared" si="3"/>
        <v/>
      </c>
      <c r="K26" s="200">
        <v>23</v>
      </c>
      <c r="L26" s="133">
        <f t="shared" si="4"/>
        <v>0</v>
      </c>
      <c r="M26" s="135" t="s">
        <v>5</v>
      </c>
      <c r="O26" s="244"/>
      <c r="P26" s="244"/>
      <c r="Q26" s="244"/>
      <c r="R26" s="244"/>
      <c r="S26" s="244"/>
      <c r="T26" s="244"/>
      <c r="U26" s="244"/>
      <c r="V26" s="244"/>
      <c r="W26" s="244"/>
      <c r="X26" s="244"/>
      <c r="Y26" s="244"/>
      <c r="Z26" s="244"/>
      <c r="AA26" s="244"/>
      <c r="AB26" s="244"/>
    </row>
    <row r="27" spans="1:28" ht="13.35" customHeight="1">
      <c r="A27" s="50" t="s">
        <v>5</v>
      </c>
      <c r="B27" s="141"/>
      <c r="C27" s="80"/>
      <c r="D27" s="93"/>
      <c r="E27" s="226"/>
      <c r="F27" s="89"/>
      <c r="G27" s="81"/>
      <c r="H27" s="82"/>
      <c r="I27" s="83" t="str">
        <f t="shared" si="2"/>
        <v/>
      </c>
      <c r="J27" s="361" t="str">
        <f t="shared" si="3"/>
        <v/>
      </c>
      <c r="K27" s="200">
        <v>24</v>
      </c>
      <c r="L27" s="133">
        <f t="shared" si="4"/>
        <v>0</v>
      </c>
      <c r="M27" s="135" t="s">
        <v>5</v>
      </c>
      <c r="O27" s="244"/>
      <c r="P27" s="244"/>
      <c r="Q27" s="244"/>
      <c r="R27" s="244"/>
      <c r="S27" s="244"/>
      <c r="T27" s="244"/>
      <c r="U27" s="244"/>
      <c r="V27" s="244"/>
      <c r="W27" s="244"/>
      <c r="X27" s="244"/>
      <c r="Y27" s="244"/>
      <c r="Z27" s="244"/>
      <c r="AA27" s="244"/>
      <c r="AB27" s="244"/>
    </row>
    <row r="28" spans="1:28" ht="13.35" customHeight="1">
      <c r="A28" s="50" t="s">
        <v>5</v>
      </c>
      <c r="B28" s="141"/>
      <c r="C28" s="80"/>
      <c r="D28" s="93"/>
      <c r="E28" s="226"/>
      <c r="F28" s="89"/>
      <c r="G28" s="81"/>
      <c r="H28" s="82"/>
      <c r="I28" s="83" t="str">
        <f t="shared" si="2"/>
        <v/>
      </c>
      <c r="J28" s="361" t="str">
        <f t="shared" si="3"/>
        <v/>
      </c>
      <c r="K28" s="200">
        <v>25</v>
      </c>
      <c r="L28" s="133">
        <f t="shared" si="4"/>
        <v>0</v>
      </c>
      <c r="M28" s="135" t="s">
        <v>5</v>
      </c>
      <c r="O28" s="244"/>
      <c r="P28" s="244"/>
      <c r="Q28" s="244"/>
      <c r="R28" s="244"/>
      <c r="S28" s="244"/>
      <c r="T28" s="244"/>
      <c r="U28" s="244"/>
      <c r="V28" s="244"/>
      <c r="W28" s="244"/>
      <c r="X28" s="244"/>
      <c r="Y28" s="244"/>
      <c r="Z28" s="244"/>
      <c r="AA28" s="244"/>
      <c r="AB28" s="244"/>
    </row>
    <row r="29" spans="1:28" ht="13.35" customHeight="1">
      <c r="A29" s="50" t="s">
        <v>5</v>
      </c>
      <c r="B29" s="141"/>
      <c r="C29" s="80"/>
      <c r="D29" s="93"/>
      <c r="E29" s="226"/>
      <c r="F29" s="89"/>
      <c r="G29" s="81"/>
      <c r="H29" s="82"/>
      <c r="I29" s="83" t="str">
        <f t="shared" si="2"/>
        <v/>
      </c>
      <c r="J29" s="361" t="str">
        <f t="shared" si="3"/>
        <v/>
      </c>
      <c r="K29" s="200">
        <v>26</v>
      </c>
      <c r="L29" s="133">
        <f t="shared" si="4"/>
        <v>0</v>
      </c>
      <c r="M29" s="135" t="s">
        <v>5</v>
      </c>
      <c r="O29" s="244"/>
      <c r="P29" s="244"/>
      <c r="Q29" s="244"/>
      <c r="R29" s="244"/>
      <c r="S29" s="244"/>
      <c r="T29" s="244"/>
      <c r="U29" s="244"/>
      <c r="V29" s="244"/>
      <c r="W29" s="244"/>
      <c r="X29" s="244"/>
      <c r="Y29" s="244"/>
      <c r="Z29" s="244"/>
      <c r="AA29" s="244"/>
      <c r="AB29" s="244"/>
    </row>
    <row r="30" spans="1:28" ht="13.35" customHeight="1">
      <c r="A30" s="50" t="s">
        <v>5</v>
      </c>
      <c r="B30" s="141"/>
      <c r="C30" s="80"/>
      <c r="D30" s="93"/>
      <c r="E30" s="226"/>
      <c r="F30" s="89"/>
      <c r="G30" s="81"/>
      <c r="H30" s="82"/>
      <c r="I30" s="83" t="str">
        <f t="shared" si="2"/>
        <v/>
      </c>
      <c r="J30" s="361" t="str">
        <f t="shared" si="3"/>
        <v/>
      </c>
      <c r="K30" s="200">
        <v>27</v>
      </c>
      <c r="L30" s="133">
        <f t="shared" si="4"/>
        <v>0</v>
      </c>
      <c r="M30" s="135" t="s">
        <v>5</v>
      </c>
      <c r="O30" s="244"/>
      <c r="P30" s="244"/>
      <c r="Q30" s="244"/>
      <c r="R30" s="244"/>
      <c r="S30" s="244"/>
      <c r="T30" s="244"/>
      <c r="U30" s="244"/>
      <c r="V30" s="244"/>
      <c r="W30" s="244"/>
      <c r="X30" s="244"/>
      <c r="Y30" s="244"/>
      <c r="Z30" s="244"/>
      <c r="AA30" s="244"/>
      <c r="AB30" s="244"/>
    </row>
    <row r="31" spans="1:28" ht="13.35" customHeight="1">
      <c r="A31" s="50" t="s">
        <v>5</v>
      </c>
      <c r="B31" s="141"/>
      <c r="C31" s="80"/>
      <c r="D31" s="93"/>
      <c r="E31" s="226"/>
      <c r="F31" s="89"/>
      <c r="G31" s="81"/>
      <c r="H31" s="82"/>
      <c r="I31" s="83" t="str">
        <f t="shared" si="2"/>
        <v/>
      </c>
      <c r="J31" s="361" t="str">
        <f t="shared" si="3"/>
        <v/>
      </c>
      <c r="K31" s="200">
        <v>28</v>
      </c>
      <c r="L31" s="133">
        <f t="shared" si="4"/>
        <v>0</v>
      </c>
      <c r="M31" s="135" t="s">
        <v>5</v>
      </c>
      <c r="O31" s="244"/>
      <c r="P31" s="244"/>
      <c r="Q31" s="244"/>
      <c r="R31" s="244"/>
      <c r="S31" s="244"/>
      <c r="T31" s="244"/>
      <c r="U31" s="244"/>
      <c r="V31" s="244"/>
      <c r="W31" s="244"/>
      <c r="X31" s="244"/>
      <c r="Y31" s="244"/>
      <c r="Z31" s="244"/>
      <c r="AA31" s="244"/>
      <c r="AB31" s="244"/>
    </row>
    <row r="32" spans="1:28" ht="13.35" customHeight="1">
      <c r="A32" s="50" t="s">
        <v>5</v>
      </c>
      <c r="B32" s="141"/>
      <c r="C32" s="80"/>
      <c r="D32" s="93"/>
      <c r="E32" s="226"/>
      <c r="F32" s="89"/>
      <c r="G32" s="81"/>
      <c r="H32" s="82"/>
      <c r="I32" s="83" t="str">
        <f t="shared" si="2"/>
        <v/>
      </c>
      <c r="J32" s="361" t="str">
        <f t="shared" si="3"/>
        <v/>
      </c>
      <c r="K32" s="200">
        <v>29</v>
      </c>
      <c r="L32" s="133">
        <f t="shared" si="4"/>
        <v>0</v>
      </c>
      <c r="M32" s="135" t="s">
        <v>5</v>
      </c>
      <c r="O32" s="244"/>
      <c r="P32" s="244"/>
      <c r="Q32" s="244"/>
      <c r="R32" s="244"/>
      <c r="S32" s="244"/>
      <c r="T32" s="244"/>
      <c r="U32" s="244"/>
      <c r="V32" s="244"/>
      <c r="W32" s="244"/>
      <c r="X32" s="244"/>
      <c r="Y32" s="244"/>
      <c r="Z32" s="244"/>
      <c r="AA32" s="244"/>
      <c r="AB32" s="244"/>
    </row>
    <row r="33" spans="1:28" ht="13.35" customHeight="1">
      <c r="A33" s="50" t="s">
        <v>5</v>
      </c>
      <c r="B33" s="141"/>
      <c r="C33" s="80"/>
      <c r="D33" s="93"/>
      <c r="E33" s="226"/>
      <c r="F33" s="89"/>
      <c r="G33" s="81"/>
      <c r="H33" s="82"/>
      <c r="I33" s="83" t="str">
        <f t="shared" si="2"/>
        <v/>
      </c>
      <c r="J33" s="361" t="str">
        <f t="shared" si="3"/>
        <v/>
      </c>
      <c r="K33" s="200">
        <v>30</v>
      </c>
      <c r="L33" s="133">
        <f t="shared" si="4"/>
        <v>0</v>
      </c>
      <c r="M33" s="135" t="s">
        <v>5</v>
      </c>
      <c r="O33" s="244"/>
      <c r="P33" s="244"/>
      <c r="Q33" s="244"/>
      <c r="R33" s="244"/>
      <c r="S33" s="244"/>
      <c r="T33" s="244"/>
      <c r="U33" s="244"/>
      <c r="V33" s="244"/>
      <c r="W33" s="244"/>
      <c r="X33" s="244"/>
      <c r="Y33" s="244"/>
      <c r="Z33" s="244"/>
      <c r="AA33" s="244"/>
      <c r="AB33" s="244"/>
    </row>
    <row r="34" spans="1:28" ht="13.35" customHeight="1">
      <c r="A34" s="50" t="s">
        <v>5</v>
      </c>
      <c r="B34" s="141"/>
      <c r="C34" s="80"/>
      <c r="D34" s="93"/>
      <c r="E34" s="226"/>
      <c r="F34" s="89"/>
      <c r="G34" s="81"/>
      <c r="H34" s="82"/>
      <c r="I34" s="83" t="str">
        <f t="shared" si="2"/>
        <v/>
      </c>
      <c r="J34" s="361" t="str">
        <f t="shared" si="3"/>
        <v/>
      </c>
      <c r="K34" s="200">
        <v>31</v>
      </c>
      <c r="L34" s="133">
        <f t="shared" si="4"/>
        <v>0</v>
      </c>
      <c r="M34" s="135" t="s">
        <v>5</v>
      </c>
      <c r="O34" s="244"/>
      <c r="P34" s="244"/>
      <c r="Q34" s="244"/>
      <c r="R34" s="244"/>
      <c r="S34" s="244"/>
      <c r="T34" s="244"/>
      <c r="U34" s="244"/>
      <c r="V34" s="244"/>
      <c r="W34" s="244"/>
      <c r="X34" s="244"/>
      <c r="Y34" s="244"/>
      <c r="Z34" s="244"/>
      <c r="AA34" s="244"/>
      <c r="AB34" s="244"/>
    </row>
    <row r="35" spans="1:28" ht="13.35" customHeight="1">
      <c r="A35" s="50" t="s">
        <v>5</v>
      </c>
      <c r="B35" s="141"/>
      <c r="C35" s="80"/>
      <c r="D35" s="93"/>
      <c r="E35" s="226"/>
      <c r="F35" s="89"/>
      <c r="G35" s="81"/>
      <c r="H35" s="82"/>
      <c r="I35" s="83" t="str">
        <f t="shared" si="2"/>
        <v/>
      </c>
      <c r="J35" s="361" t="str">
        <f t="shared" si="3"/>
        <v/>
      </c>
      <c r="K35" s="200">
        <v>32</v>
      </c>
      <c r="L35" s="133">
        <f t="shared" si="4"/>
        <v>0</v>
      </c>
      <c r="M35" s="135" t="s">
        <v>5</v>
      </c>
      <c r="O35" s="244"/>
      <c r="P35" s="244"/>
      <c r="Q35" s="244"/>
      <c r="R35" s="244"/>
      <c r="S35" s="244"/>
      <c r="T35" s="244"/>
      <c r="U35" s="244"/>
      <c r="V35" s="244"/>
      <c r="W35" s="244"/>
      <c r="X35" s="244"/>
      <c r="Y35" s="244"/>
      <c r="Z35" s="244"/>
      <c r="AA35" s="244"/>
      <c r="AB35" s="244"/>
    </row>
    <row r="36" spans="1:28" ht="13.35" customHeight="1">
      <c r="A36" s="50" t="s">
        <v>5</v>
      </c>
      <c r="B36" s="141"/>
      <c r="C36" s="80"/>
      <c r="D36" s="93"/>
      <c r="E36" s="226"/>
      <c r="F36" s="89"/>
      <c r="G36" s="81"/>
      <c r="H36" s="82"/>
      <c r="I36" s="83" t="str">
        <f t="shared" si="2"/>
        <v/>
      </c>
      <c r="J36" s="361" t="str">
        <f t="shared" si="3"/>
        <v/>
      </c>
      <c r="K36" s="200">
        <v>33</v>
      </c>
      <c r="L36" s="133">
        <f t="shared" si="4"/>
        <v>0</v>
      </c>
      <c r="M36" s="135" t="s">
        <v>5</v>
      </c>
      <c r="O36" s="244"/>
      <c r="P36" s="244"/>
      <c r="Q36" s="244"/>
      <c r="R36" s="244"/>
      <c r="S36" s="244"/>
      <c r="T36" s="244"/>
      <c r="U36" s="244"/>
      <c r="V36" s="244"/>
      <c r="W36" s="244"/>
      <c r="X36" s="244"/>
      <c r="Y36" s="244"/>
      <c r="Z36" s="244"/>
      <c r="AA36" s="244"/>
      <c r="AB36" s="244"/>
    </row>
    <row r="37" spans="1:28" ht="13.35" customHeight="1">
      <c r="A37" s="50" t="s">
        <v>5</v>
      </c>
      <c r="B37" s="141"/>
      <c r="C37" s="80"/>
      <c r="D37" s="93"/>
      <c r="E37" s="226"/>
      <c r="F37" s="89"/>
      <c r="G37" s="81"/>
      <c r="H37" s="82"/>
      <c r="I37" s="83" t="str">
        <f t="shared" si="2"/>
        <v/>
      </c>
      <c r="J37" s="361" t="str">
        <f t="shared" si="3"/>
        <v/>
      </c>
      <c r="K37" s="200">
        <v>34</v>
      </c>
      <c r="L37" s="133">
        <f t="shared" si="4"/>
        <v>0</v>
      </c>
      <c r="M37" s="135" t="s">
        <v>5</v>
      </c>
      <c r="O37" s="244"/>
      <c r="P37" s="244"/>
      <c r="Q37" s="244"/>
      <c r="R37" s="244"/>
      <c r="S37" s="244"/>
      <c r="T37" s="244"/>
      <c r="U37" s="244"/>
      <c r="V37" s="244"/>
      <c r="W37" s="244"/>
      <c r="X37" s="244"/>
      <c r="Y37" s="244"/>
      <c r="Z37" s="244"/>
      <c r="AA37" s="244"/>
      <c r="AB37" s="244"/>
    </row>
    <row r="38" spans="1:28" ht="13.35" customHeight="1">
      <c r="A38" s="50" t="s">
        <v>5</v>
      </c>
      <c r="B38" s="141"/>
      <c r="C38" s="80"/>
      <c r="D38" s="93"/>
      <c r="E38" s="226"/>
      <c r="F38" s="89"/>
      <c r="G38" s="81"/>
      <c r="H38" s="82"/>
      <c r="I38" s="83" t="str">
        <f t="shared" si="2"/>
        <v/>
      </c>
      <c r="J38" s="361" t="str">
        <f t="shared" si="3"/>
        <v/>
      </c>
      <c r="K38" s="200">
        <v>35</v>
      </c>
      <c r="L38" s="133">
        <f t="shared" si="4"/>
        <v>0</v>
      </c>
      <c r="M38" s="135" t="s">
        <v>5</v>
      </c>
      <c r="O38" s="244"/>
      <c r="P38" s="244"/>
      <c r="Q38" s="244"/>
      <c r="R38" s="244"/>
      <c r="S38" s="244"/>
      <c r="T38" s="244"/>
      <c r="U38" s="244"/>
      <c r="V38" s="244"/>
      <c r="W38" s="244"/>
      <c r="X38" s="244"/>
      <c r="Y38" s="244"/>
      <c r="Z38" s="244"/>
      <c r="AA38" s="244"/>
      <c r="AB38" s="244"/>
    </row>
    <row r="39" spans="1:28" ht="13.35" customHeight="1">
      <c r="A39" s="50" t="s">
        <v>5</v>
      </c>
      <c r="B39" s="141"/>
      <c r="C39" s="80"/>
      <c r="D39" s="93"/>
      <c r="E39" s="226"/>
      <c r="F39" s="89"/>
      <c r="G39" s="81"/>
      <c r="H39" s="82"/>
      <c r="I39" s="83" t="str">
        <f t="shared" si="2"/>
        <v/>
      </c>
      <c r="J39" s="361" t="str">
        <f t="shared" si="3"/>
        <v/>
      </c>
      <c r="K39" s="200">
        <v>36</v>
      </c>
      <c r="L39" s="133">
        <f t="shared" si="4"/>
        <v>0</v>
      </c>
      <c r="M39" s="135" t="s">
        <v>5</v>
      </c>
      <c r="O39" s="244"/>
      <c r="P39" s="244"/>
      <c r="Q39" s="244"/>
      <c r="R39" s="244"/>
      <c r="S39" s="244"/>
      <c r="T39" s="244"/>
      <c r="U39" s="244"/>
      <c r="V39" s="244"/>
      <c r="W39" s="244"/>
      <c r="X39" s="244"/>
      <c r="Y39" s="244"/>
      <c r="Z39" s="244"/>
      <c r="AA39" s="244"/>
      <c r="AB39" s="244"/>
    </row>
    <row r="40" spans="1:28" ht="13.35" customHeight="1">
      <c r="A40" s="50" t="s">
        <v>5</v>
      </c>
      <c r="B40" s="141"/>
      <c r="C40" s="80"/>
      <c r="D40" s="93"/>
      <c r="E40" s="226"/>
      <c r="F40" s="89"/>
      <c r="G40" s="81"/>
      <c r="H40" s="82"/>
      <c r="I40" s="83" t="str">
        <f t="shared" si="2"/>
        <v/>
      </c>
      <c r="J40" s="361" t="str">
        <f t="shared" si="3"/>
        <v/>
      </c>
      <c r="K40" s="200">
        <v>37</v>
      </c>
      <c r="L40" s="133">
        <f t="shared" si="4"/>
        <v>0</v>
      </c>
      <c r="M40" s="135" t="s">
        <v>5</v>
      </c>
      <c r="O40" s="244"/>
      <c r="P40" s="244"/>
      <c r="Q40" s="244"/>
      <c r="R40" s="244"/>
      <c r="S40" s="244"/>
      <c r="T40" s="244"/>
      <c r="U40" s="244"/>
      <c r="V40" s="244"/>
      <c r="W40" s="244"/>
      <c r="X40" s="244"/>
      <c r="Y40" s="244"/>
      <c r="Z40" s="244"/>
      <c r="AA40" s="244"/>
      <c r="AB40" s="244"/>
    </row>
    <row r="41" spans="1:28" ht="13.35" customHeight="1">
      <c r="A41" s="50" t="s">
        <v>5</v>
      </c>
      <c r="B41" s="141"/>
      <c r="C41" s="80"/>
      <c r="D41" s="93"/>
      <c r="E41" s="226"/>
      <c r="F41" s="89"/>
      <c r="G41" s="81"/>
      <c r="H41" s="82"/>
      <c r="I41" s="83" t="str">
        <f t="shared" si="2"/>
        <v/>
      </c>
      <c r="J41" s="361" t="str">
        <f t="shared" si="3"/>
        <v/>
      </c>
      <c r="K41" s="200">
        <v>38</v>
      </c>
      <c r="L41" s="133">
        <f t="shared" si="4"/>
        <v>0</v>
      </c>
      <c r="M41" s="135" t="s">
        <v>5</v>
      </c>
      <c r="O41" s="244"/>
      <c r="P41" s="244"/>
      <c r="Q41" s="244"/>
      <c r="R41" s="244"/>
      <c r="S41" s="244"/>
      <c r="T41" s="244"/>
      <c r="U41" s="244"/>
      <c r="V41" s="244"/>
      <c r="W41" s="244"/>
      <c r="X41" s="244"/>
      <c r="Y41" s="244"/>
      <c r="Z41" s="244"/>
      <c r="AA41" s="244"/>
      <c r="AB41" s="244"/>
    </row>
    <row r="42" spans="1:28" ht="13.35" customHeight="1">
      <c r="A42" s="50" t="s">
        <v>5</v>
      </c>
      <c r="B42" s="141"/>
      <c r="C42" s="80"/>
      <c r="D42" s="93"/>
      <c r="E42" s="226"/>
      <c r="F42" s="89"/>
      <c r="G42" s="81"/>
      <c r="H42" s="82"/>
      <c r="I42" s="83" t="str">
        <f t="shared" si="2"/>
        <v/>
      </c>
      <c r="J42" s="361" t="str">
        <f t="shared" si="3"/>
        <v/>
      </c>
      <c r="K42" s="200">
        <v>39</v>
      </c>
      <c r="L42" s="133">
        <f t="shared" si="4"/>
        <v>0</v>
      </c>
      <c r="M42" s="135" t="s">
        <v>5</v>
      </c>
      <c r="O42" s="244"/>
      <c r="P42" s="244"/>
      <c r="Q42" s="244"/>
      <c r="R42" s="244"/>
      <c r="S42" s="244"/>
      <c r="T42" s="244"/>
      <c r="U42" s="244"/>
      <c r="V42" s="244"/>
      <c r="W42" s="244"/>
      <c r="X42" s="244"/>
      <c r="Y42" s="244"/>
      <c r="Z42" s="244"/>
      <c r="AA42" s="244"/>
      <c r="AB42" s="244"/>
    </row>
    <row r="43" spans="1:28" ht="13.35" customHeight="1">
      <c r="A43" s="50" t="s">
        <v>5</v>
      </c>
      <c r="B43" s="141"/>
      <c r="C43" s="80"/>
      <c r="D43" s="93"/>
      <c r="E43" s="226"/>
      <c r="F43" s="89"/>
      <c r="G43" s="81"/>
      <c r="H43" s="82"/>
      <c r="I43" s="83" t="str">
        <f t="shared" si="2"/>
        <v/>
      </c>
      <c r="J43" s="361" t="str">
        <f t="shared" si="3"/>
        <v/>
      </c>
      <c r="K43" s="200">
        <v>40</v>
      </c>
      <c r="L43" s="133">
        <f t="shared" si="4"/>
        <v>0</v>
      </c>
      <c r="M43" s="135" t="s">
        <v>5</v>
      </c>
      <c r="O43" s="244"/>
      <c r="P43" s="244"/>
      <c r="Q43" s="244"/>
      <c r="R43" s="244"/>
      <c r="S43" s="244"/>
      <c r="T43" s="244"/>
      <c r="U43" s="244"/>
      <c r="V43" s="244"/>
      <c r="W43" s="244"/>
      <c r="X43" s="244"/>
      <c r="Y43" s="244"/>
      <c r="Z43" s="244"/>
      <c r="AA43" s="244"/>
      <c r="AB43" s="244"/>
    </row>
    <row r="44" spans="1:28" ht="13.35" customHeight="1">
      <c r="A44" s="50" t="s">
        <v>5</v>
      </c>
      <c r="B44" s="141"/>
      <c r="C44" s="80"/>
      <c r="D44" s="93"/>
      <c r="E44" s="226"/>
      <c r="F44" s="89"/>
      <c r="G44" s="81"/>
      <c r="H44" s="82"/>
      <c r="I44" s="83" t="str">
        <f t="shared" si="2"/>
        <v/>
      </c>
      <c r="J44" s="361" t="str">
        <f t="shared" si="3"/>
        <v/>
      </c>
      <c r="K44" s="200">
        <v>41</v>
      </c>
      <c r="L44" s="133">
        <f t="shared" si="4"/>
        <v>0</v>
      </c>
      <c r="M44" s="135" t="s">
        <v>5</v>
      </c>
      <c r="O44" s="244"/>
      <c r="P44" s="244"/>
      <c r="Q44" s="244"/>
      <c r="R44" s="244"/>
      <c r="S44" s="244"/>
      <c r="T44" s="244"/>
      <c r="U44" s="244"/>
      <c r="V44" s="244"/>
      <c r="W44" s="244"/>
      <c r="X44" s="244"/>
      <c r="Y44" s="244"/>
      <c r="Z44" s="244"/>
      <c r="AA44" s="244"/>
      <c r="AB44" s="244"/>
    </row>
    <row r="45" spans="1:28" ht="13.35" customHeight="1">
      <c r="A45" s="50" t="s">
        <v>5</v>
      </c>
      <c r="B45" s="141"/>
      <c r="C45" s="80"/>
      <c r="D45" s="93"/>
      <c r="E45" s="226"/>
      <c r="F45" s="89"/>
      <c r="G45" s="81"/>
      <c r="H45" s="82"/>
      <c r="I45" s="83" t="str">
        <f t="shared" ref="I45:I46" si="7">IF(G45&lt;&gt;"",+G45-G45/(1+H45/100),"")</f>
        <v/>
      </c>
      <c r="J45" s="361" t="str">
        <f t="shared" ref="J45:J46" si="8">IF(G45&lt;&gt;0,+G45-I45,"")</f>
        <v/>
      </c>
      <c r="K45" s="200">
        <v>44</v>
      </c>
      <c r="L45" s="133">
        <f t="shared" ref="L45:L46" si="9">IF(B45&lt;$O$2,0,IF(B45&lt;$P$2,1,IF(B45&lt;$Q$2,2,IF(B45&lt;$R$2,3,IF(B45&lt;$S$2,4,IF(B45&lt;$T$2,5,IF(B45&lt;$U$2,6,IF(B45&lt;$V$2,7,IF(B45&lt;$W$2,8,IF(B45&lt;$X$2,9,IF(B45&lt;$Y$2,10,IF(B45&lt;$Z$2,11,IF(B45&lt;=$Z$3,12,0)))))))))))))</f>
        <v>0</v>
      </c>
      <c r="M45" s="135" t="s">
        <v>5</v>
      </c>
      <c r="O45" s="244"/>
      <c r="P45" s="244"/>
      <c r="Q45" s="244"/>
      <c r="R45" s="244"/>
      <c r="S45" s="244"/>
      <c r="T45" s="244"/>
      <c r="U45" s="244"/>
      <c r="V45" s="244"/>
      <c r="W45" s="244"/>
      <c r="X45" s="244"/>
      <c r="Y45" s="244"/>
      <c r="Z45" s="244"/>
      <c r="AA45" s="244"/>
      <c r="AB45" s="244"/>
    </row>
    <row r="46" spans="1:28" ht="13.35" customHeight="1" thickBot="1">
      <c r="A46" s="50" t="s">
        <v>5</v>
      </c>
      <c r="B46" s="141"/>
      <c r="C46" s="80"/>
      <c r="D46" s="93"/>
      <c r="E46" s="226"/>
      <c r="F46" s="89"/>
      <c r="G46" s="81"/>
      <c r="H46" s="82"/>
      <c r="I46" s="83" t="str">
        <f t="shared" si="7"/>
        <v/>
      </c>
      <c r="J46" s="361" t="str">
        <f t="shared" si="8"/>
        <v/>
      </c>
      <c r="K46" s="200">
        <v>45</v>
      </c>
      <c r="L46" s="133">
        <f t="shared" si="9"/>
        <v>0</v>
      </c>
      <c r="M46" s="135" t="s">
        <v>5</v>
      </c>
      <c r="O46" s="244"/>
      <c r="P46" s="244"/>
      <c r="Q46" s="244"/>
      <c r="R46" s="244"/>
      <c r="S46" s="244"/>
      <c r="T46" s="244"/>
      <c r="U46" s="244"/>
      <c r="V46" s="244"/>
      <c r="W46" s="244"/>
      <c r="X46" s="244"/>
      <c r="Y46" s="244"/>
      <c r="Z46" s="244"/>
      <c r="AA46" s="244"/>
      <c r="AB46" s="244"/>
    </row>
    <row r="47" spans="1:28" ht="12" customHeight="1" thickTop="1" thickBot="1">
      <c r="A47" s="391" t="s">
        <v>283</v>
      </c>
      <c r="B47" s="1244" t="str">
        <f>IF($A$48=0,"^ Zeile einfügen","bis hierher ziehen!")</f>
        <v>^ Zeile einfügen</v>
      </c>
      <c r="C47" s="1244"/>
      <c r="D47" s="392" t="s">
        <v>5</v>
      </c>
      <c r="E47" s="393" t="s">
        <v>5</v>
      </c>
      <c r="F47" s="394" t="s">
        <v>5</v>
      </c>
      <c r="G47" s="394"/>
      <c r="H47" s="395"/>
      <c r="I47" s="396"/>
      <c r="J47" s="425"/>
      <c r="K47" s="201">
        <v>0</v>
      </c>
      <c r="L47" s="185" t="s">
        <v>5</v>
      </c>
      <c r="M47" s="398" t="s">
        <v>283</v>
      </c>
    </row>
    <row r="48" spans="1:28" ht="12" customHeight="1" thickTop="1" thickBot="1">
      <c r="A48" s="390">
        <f>COUNTBLANK(A3:A47)+A49</f>
        <v>0</v>
      </c>
      <c r="B48" s="193" t="str">
        <f>+EÜR!C50</f>
        <v>ü</v>
      </c>
      <c r="C48" s="194" t="s">
        <v>5</v>
      </c>
      <c r="D48" s="194" t="s">
        <v>5</v>
      </c>
      <c r="E48" s="195" t="s">
        <v>5</v>
      </c>
      <c r="F48" s="196" t="s">
        <v>5</v>
      </c>
      <c r="G48" s="197">
        <f>SUBTOTAL(9,G3:G47)</f>
        <v>0</v>
      </c>
      <c r="H48" s="1242">
        <f>SUBTOTAL(9,I3:I47)</f>
        <v>0</v>
      </c>
      <c r="I48" s="1243">
        <f>SUBTOTAL(9,I3:I47)</f>
        <v>0</v>
      </c>
      <c r="J48" s="1293">
        <f>G48-H48</f>
        <v>0</v>
      </c>
      <c r="K48" s="1294"/>
      <c r="L48" s="1295"/>
      <c r="M48" s="135" t="s">
        <v>5</v>
      </c>
    </row>
    <row r="49" spans="1:14" ht="12" customHeight="1" thickTop="1" thickBot="1">
      <c r="A49" s="390">
        <f>IF(ISERROR(J47),1,0)</f>
        <v>0</v>
      </c>
      <c r="B49" s="192">
        <f>J48-G49-E49-C49</f>
        <v>0</v>
      </c>
      <c r="C49" s="1239">
        <f>SUMIF(F4:F47,"Kreditkarte",G4:G47)</f>
        <v>0</v>
      </c>
      <c r="D49" s="1239"/>
      <c r="E49" s="1240">
        <f>SUMIF(F4:F47,"Konto",G4:G47)</f>
        <v>0</v>
      </c>
      <c r="F49" s="1240"/>
      <c r="G49" s="1241">
        <f>SUMIF(F4:F47,"Geldbeutel",G4:G47)</f>
        <v>0</v>
      </c>
      <c r="H49" s="1241"/>
      <c r="I49" s="1241"/>
      <c r="J49" s="1296"/>
      <c r="K49" s="1297"/>
      <c r="L49" s="1298"/>
      <c r="M49" s="135" t="s">
        <v>5</v>
      </c>
    </row>
    <row r="50" spans="1:14" s="15" customFormat="1" ht="5.25" customHeight="1" thickTop="1">
      <c r="A50" s="36"/>
      <c r="B50" s="2"/>
      <c r="C50" s="3"/>
      <c r="D50" s="3"/>
      <c r="E50" s="1"/>
      <c r="G50" s="16"/>
      <c r="H50" s="16"/>
      <c r="I50" s="17"/>
      <c r="J50" s="18"/>
      <c r="K50" s="18"/>
      <c r="L50" s="31"/>
      <c r="N50" s="148"/>
    </row>
    <row r="51" spans="1:14">
      <c r="A51" s="36"/>
    </row>
  </sheetData>
  <sheetProtection formatCells="0" insertRows="0" deleteRows="0" selectLockedCells="1" sort="0" autoFilter="0"/>
  <mergeCells count="15">
    <mergeCell ref="C2:I2"/>
    <mergeCell ref="J2:L2"/>
    <mergeCell ref="AA9:AB9"/>
    <mergeCell ref="O10:Z10"/>
    <mergeCell ref="O11:Z11"/>
    <mergeCell ref="AA4:AB4"/>
    <mergeCell ref="AA13:AB13"/>
    <mergeCell ref="O14:Z14"/>
    <mergeCell ref="AA14:AB14"/>
    <mergeCell ref="J48:L49"/>
    <mergeCell ref="C49:D49"/>
    <mergeCell ref="E49:F49"/>
    <mergeCell ref="G49:I49"/>
    <mergeCell ref="H48:I48"/>
    <mergeCell ref="B47:C47"/>
  </mergeCells>
  <conditionalFormatting sqref="A4:A46">
    <cfRule type="expression" dxfId="328" priority="16">
      <formula>ISERROR(J4)</formula>
    </cfRule>
    <cfRule type="cellIs" dxfId="327" priority="17" operator="equal">
      <formula>""</formula>
    </cfRule>
  </conditionalFormatting>
  <conditionalFormatting sqref="A47:C47">
    <cfRule type="expression" dxfId="326" priority="7">
      <formula>$A$48&lt;&gt;0</formula>
    </cfRule>
  </conditionalFormatting>
  <conditionalFormatting sqref="B2">
    <cfRule type="expression" dxfId="325" priority="43" stopIfTrue="1">
      <formula>$B$48="x"</formula>
    </cfRule>
  </conditionalFormatting>
  <conditionalFormatting sqref="B4:B46">
    <cfRule type="cellIs" dxfId="322" priority="30" operator="equal">
      <formula>""</formula>
    </cfRule>
  </conditionalFormatting>
  <conditionalFormatting sqref="B48">
    <cfRule type="cellIs" dxfId="321" priority="66" operator="equal">
      <formula>"y"</formula>
    </cfRule>
  </conditionalFormatting>
  <conditionalFormatting sqref="B3:J3">
    <cfRule type="expression" dxfId="320" priority="9082">
      <formula>$B$48="x"</formula>
    </cfRule>
  </conditionalFormatting>
  <conditionalFormatting sqref="B4:J46">
    <cfRule type="expression" dxfId="319" priority="26">
      <formula>$B$1="x"</formula>
    </cfRule>
  </conditionalFormatting>
  <conditionalFormatting sqref="B3:L3">
    <cfRule type="expression" dxfId="318" priority="60">
      <formula>$B$48="x"</formula>
    </cfRule>
  </conditionalFormatting>
  <conditionalFormatting sqref="C4:D46">
    <cfRule type="expression" dxfId="317" priority="33">
      <formula>AND($B4&lt;&gt;"",$C4="")</formula>
    </cfRule>
  </conditionalFormatting>
  <conditionalFormatting sqref="C49:I49">
    <cfRule type="cellIs" dxfId="316" priority="65" stopIfTrue="1" operator="lessThan">
      <formula>0</formula>
    </cfRule>
    <cfRule type="cellIs" dxfId="315" priority="63" stopIfTrue="1" operator="greaterThanOrEqual">
      <formula>0</formula>
    </cfRule>
  </conditionalFormatting>
  <conditionalFormatting sqref="D47:J47">
    <cfRule type="expression" dxfId="314" priority="9">
      <formula>$A$48&lt;&gt;0</formula>
    </cfRule>
  </conditionalFormatting>
  <conditionalFormatting sqref="H4:H46">
    <cfRule type="expression" dxfId="313" priority="29">
      <formula>AND(G4&lt;&gt;"",H4="",$I$1&lt;&gt;"x")</formula>
    </cfRule>
  </conditionalFormatting>
  <conditionalFormatting sqref="H4:I46">
    <cfRule type="expression" dxfId="312" priority="27">
      <formula>AND($I4&lt;&gt;0,$I$1&lt;&gt;"ü")</formula>
    </cfRule>
    <cfRule type="expression" dxfId="311" priority="28">
      <formula>$I$1&lt;&gt;"ü"</formula>
    </cfRule>
  </conditionalFormatting>
  <conditionalFormatting sqref="J48:L48 C49:L49 C48:H48">
    <cfRule type="expression" dxfId="309" priority="62">
      <formula>$B$48="x"</formula>
    </cfRule>
  </conditionalFormatting>
  <conditionalFormatting sqref="J48:L49">
    <cfRule type="expression" dxfId="308" priority="61">
      <formula>AND($B$48="x",$J$48&lt;&gt;0)</formula>
    </cfRule>
  </conditionalFormatting>
  <conditionalFormatting sqref="K4:L46">
    <cfRule type="expression" dxfId="307" priority="15239">
      <formula>$B$48="x"</formula>
    </cfRule>
  </conditionalFormatting>
  <conditionalFormatting sqref="M3">
    <cfRule type="cellIs" dxfId="306" priority="25" operator="equal">
      <formula>""</formula>
    </cfRule>
  </conditionalFormatting>
  <conditionalFormatting sqref="M4:M46">
    <cfRule type="expression" dxfId="305" priority="23">
      <formula>ISERROR(J4)</formula>
    </cfRule>
    <cfRule type="cellIs" dxfId="304" priority="24" operator="equal">
      <formula>""</formula>
    </cfRule>
  </conditionalFormatting>
  <conditionalFormatting sqref="M47">
    <cfRule type="expression" dxfId="303" priority="8">
      <formula>$A$48&lt;&gt;0</formula>
    </cfRule>
  </conditionalFormatting>
  <conditionalFormatting sqref="M47:M49">
    <cfRule type="cellIs" dxfId="302" priority="11" operator="equal">
      <formula>""</formula>
    </cfRule>
  </conditionalFormatting>
  <conditionalFormatting sqref="N10:AB10">
    <cfRule type="expression" dxfId="301" priority="6">
      <formula>$N$2=0</formula>
    </cfRule>
  </conditionalFormatting>
  <conditionalFormatting sqref="O11:Z11">
    <cfRule type="cellIs" dxfId="300" priority="47" operator="equal">
      <formula>"Fehler!"</formula>
    </cfRule>
  </conditionalFormatting>
  <conditionalFormatting sqref="O4:AA4">
    <cfRule type="expression" dxfId="296" priority="42">
      <formula>$N$2=0</formula>
    </cfRule>
  </conditionalFormatting>
  <conditionalFormatting sqref="O2:AB3">
    <cfRule type="expression" dxfId="294" priority="1">
      <formula>$N$2=0</formula>
    </cfRule>
  </conditionalFormatting>
  <conditionalFormatting sqref="O5:AB8 O9:AA9">
    <cfRule type="expression" dxfId="293" priority="46">
      <formula>$N$2=0</formula>
    </cfRule>
  </conditionalFormatting>
  <conditionalFormatting sqref="O11:AB14">
    <cfRule type="expression" dxfId="292" priority="3">
      <formula>$N$2=0</formula>
    </cfRule>
  </conditionalFormatting>
  <conditionalFormatting sqref="O47:AB49">
    <cfRule type="expression" dxfId="291" priority="10">
      <formula>$N$2=0</formula>
    </cfRule>
  </conditionalFormatting>
  <dataValidations count="2">
    <dataValidation type="list" allowBlank="1" showInputMessage="1" showErrorMessage="1" sqref="H4:H46" xr:uid="{9408E1A6-F4FC-4892-9A4E-FF461CE92762}">
      <formula1>"19,7,0,~"</formula1>
    </dataValidation>
    <dataValidation type="list" allowBlank="1" showInputMessage="1" showErrorMessage="1" sqref="F4:F46" xr:uid="{959DF546-279F-4764-919B-83950D0DD8FE}">
      <formula1>"Konto,Geldbeutel,Kreditkarte,x"</formula1>
    </dataValidation>
  </dataValidations>
  <hyperlinks>
    <hyperlink ref="J2" location="'2022 EÜR'!A1" display="Menü" xr:uid="{E0694AAA-8044-41CE-A684-1276192A8FE5}"/>
    <hyperlink ref="J2:L2" location="EÜR!A1" display="EÜR" xr:uid="{C053C1AA-55FA-42FF-8803-0951BDFF8662}"/>
  </hyperlinks>
  <printOptions horizontalCentered="1"/>
  <pageMargins left="0" right="0" top="0" bottom="0.31496062992125984" header="0" footer="0"/>
  <pageSetup paperSize="9" orientation="portrait" r:id="rId1"/>
  <headerFooter>
    <oddFooter>&amp;L&amp;"Arial,Standard"&amp;8Datei: &amp;Z&amp;F/&amp;A&amp;C&amp;"Arial,Standard"&amp;8Seite &amp;P von &amp;N&amp;R&amp;"Arial,Standard"&amp;8Druck: &amp;D&amp;T Uhr</oddFooter>
  </headerFooter>
  <extLst>
    <ext xmlns:x14="http://schemas.microsoft.com/office/spreadsheetml/2009/9/main" uri="{78C0D931-6437-407d-A8EE-F0AAD7539E65}">
      <x14:conditionalFormattings>
        <x14:conditionalFormatting xmlns:xm="http://schemas.microsoft.com/office/excel/2006/main">
          <x14:cfRule type="cellIs" priority="31" operator="greaterThan" id="{91D1D1BF-7324-436A-A7CF-98867D90F34F}">
            <xm:f>EÜR!$I$78</xm:f>
            <x14:dxf>
              <font>
                <b/>
                <i val="0"/>
                <color rgb="FFFFFF00"/>
              </font>
              <fill>
                <patternFill>
                  <bgColor rgb="FFC00000"/>
                </patternFill>
              </fill>
            </x14:dxf>
          </x14:cfRule>
          <x14:cfRule type="cellIs" priority="32" operator="lessThan" id="{2AC7385A-DDEC-4014-A1E7-40E3893C1498}">
            <xm:f>EÜR!$I$77</xm:f>
            <x14:dxf>
              <font>
                <b/>
                <i val="0"/>
                <color rgb="FFFFFF00"/>
              </font>
              <fill>
                <patternFill>
                  <bgColor rgb="FFC00000"/>
                </patternFill>
              </fill>
            </x14:dxf>
          </x14:cfRule>
          <xm:sqref>B4:B46</xm:sqref>
        </x14:conditionalFormatting>
        <x14:conditionalFormatting xmlns:xm="http://schemas.microsoft.com/office/excel/2006/main">
          <x14:cfRule type="expression" priority="44" id="{66373C60-9020-4E8C-9AE0-0747E6F67FFC}">
            <xm:f>AND(EÜR!$J$66&lt;&gt;"ü",$H$48&lt;&gt;0)</xm:f>
            <x14:dxf>
              <font>
                <b/>
                <i val="0"/>
                <color rgb="FFFFFF00"/>
              </font>
              <fill>
                <patternFill>
                  <bgColor rgb="FFFF0000"/>
                </patternFill>
              </fill>
            </x14:dxf>
          </x14:cfRule>
          <xm:sqref>H48:I48</xm:sqref>
        </x14:conditionalFormatting>
        <x14:conditionalFormatting xmlns:xm="http://schemas.microsoft.com/office/excel/2006/main">
          <x14:cfRule type="expression" priority="48" id="{E6238790-25AB-4C92-9D71-D10857694319}">
            <xm:f>AND(O13&lt;&gt;0,U!L36="!",U!L37="!")</xm:f>
            <x14:dxf>
              <font>
                <b/>
                <i val="0"/>
                <color rgb="FFFF0000"/>
              </font>
              <fill>
                <patternFill>
                  <bgColor rgb="FFFFCCCC"/>
                </patternFill>
              </fill>
            </x14:dxf>
          </x14:cfRule>
          <x14:cfRule type="expression" priority="49" id="{2FD9E7A2-A5E7-43D1-B22D-E4DD94A1361B}">
            <xm:f>U!L37&lt;&gt;"!"</xm:f>
            <x14:dxf>
              <font>
                <b/>
                <i val="0"/>
                <color rgb="FF006666"/>
              </font>
              <fill>
                <patternFill>
                  <bgColor theme="6" tint="0.39994506668294322"/>
                </patternFill>
              </fill>
            </x14:dxf>
          </x14:cfRule>
          <x14:cfRule type="expression" priority="50" id="{455AE81D-81E5-4785-83D1-880F18D47D88}">
            <xm:f>U!L36&lt;&gt;"!"</xm:f>
            <x14:dxf>
              <font>
                <b/>
                <i val="0"/>
                <color theme="9" tint="-0.499984740745262"/>
              </font>
              <fill>
                <patternFill>
                  <bgColor rgb="FFFFFF99"/>
                </patternFill>
              </fill>
            </x14:dxf>
          </x14:cfRule>
          <xm:sqref>O13:Z13</xm:sqref>
        </x14:conditionalFormatting>
        <x14:conditionalFormatting xmlns:xm="http://schemas.microsoft.com/office/excel/2006/main">
          <x14:cfRule type="expression" priority="2" id="{940C2B1A-B748-410E-93BC-CFEA03A32B78}">
            <xm:f>EÜR!$J$66="-"</xm:f>
            <x14:dxf>
              <font>
                <b/>
                <i val="0"/>
                <color theme="0"/>
              </font>
              <fill>
                <patternFill>
                  <bgColor theme="0"/>
                </patternFill>
              </fill>
              <border>
                <left/>
                <right/>
                <top/>
                <bottom/>
              </border>
            </x14:dxf>
          </x14:cfRule>
          <xm:sqref>O12:AA14</xm:sqref>
        </x14:conditionalFormatting>
      </x14:conditionalFormattings>
    </ext>
  </extLst>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E2A133-9477-4E43-82F3-E68AD4BA47FB}">
  <sheetPr codeName="Tabelle39">
    <tabColor theme="9" tint="0.39997558519241921"/>
    <pageSetUpPr autoPageBreaks="0"/>
  </sheetPr>
  <dimension ref="A1:AB51"/>
  <sheetViews>
    <sheetView showGridLines="0" showRowColHeaders="0" zoomScaleNormal="100" workbookViewId="0">
      <pane ySplit="3" topLeftCell="A4" activePane="bottomLeft" state="frozen"/>
      <selection activeCell="F4" sqref="F4:F46"/>
      <selection pane="bottomLeft" activeCell="A4" sqref="A4"/>
    </sheetView>
  </sheetViews>
  <sheetFormatPr baseColWidth="10" defaultColWidth="9.77734375" defaultRowHeight="12.75"/>
  <cols>
    <col min="1" max="1" width="0.77734375" style="12" customWidth="1"/>
    <col min="2" max="2" width="7.6640625" style="30" customWidth="1"/>
    <col min="3" max="3" width="21.6640625" style="24" customWidth="1"/>
    <col min="4" max="4" width="7.6640625" style="24" customWidth="1"/>
    <col min="5" max="5" width="6.6640625" style="25" customWidth="1"/>
    <col min="6" max="6" width="9.6640625" style="26" customWidth="1"/>
    <col min="7" max="7" width="9.6640625" style="27" customWidth="1"/>
    <col min="8" max="8" width="2.6640625" style="28" customWidth="1"/>
    <col min="9" max="9" width="6.6640625" style="29" customWidth="1"/>
    <col min="10" max="10" width="9.6640625" style="27" customWidth="1"/>
    <col min="11" max="11" width="2.5546875" style="27" hidden="1" customWidth="1"/>
    <col min="12" max="12" width="1.5546875" style="32" hidden="1" customWidth="1"/>
    <col min="13" max="13" width="0.77734375" style="13" customWidth="1"/>
    <col min="14" max="14" width="1.77734375" style="147" customWidth="1"/>
    <col min="15" max="26" width="8.77734375" style="13" customWidth="1"/>
    <col min="27" max="27" width="10.33203125" style="13" customWidth="1"/>
    <col min="28" max="28" width="8.33203125" style="13" customWidth="1"/>
    <col min="29" max="16384" width="9.77734375" style="13"/>
  </cols>
  <sheetData>
    <row r="1" spans="1:28" s="37" customFormat="1" ht="3" customHeight="1" thickBot="1">
      <c r="A1" s="36"/>
      <c r="B1" s="53" t="str">
        <f>+B48</f>
        <v>ü</v>
      </c>
      <c r="C1" s="54">
        <f>+C49</f>
        <v>0</v>
      </c>
      <c r="D1" s="54"/>
      <c r="E1" s="53">
        <f>+E49</f>
        <v>0</v>
      </c>
      <c r="F1" s="53"/>
      <c r="G1" s="54">
        <f>+G49</f>
        <v>0</v>
      </c>
      <c r="H1" s="53"/>
      <c r="I1" s="338" t="str">
        <f>+EÜR!J66</f>
        <v>-</v>
      </c>
      <c r="J1" s="54">
        <f>+J48</f>
        <v>0</v>
      </c>
      <c r="K1" s="198"/>
      <c r="L1" s="56"/>
      <c r="N1" s="190"/>
    </row>
    <row r="2" spans="1:28" ht="23.1" customHeight="1" thickTop="1" thickBot="1">
      <c r="A2" s="36"/>
      <c r="B2" s="296" t="str">
        <f>+EÜR!D51</f>
        <v>A30</v>
      </c>
      <c r="C2" s="1290" t="str">
        <f>+EÜR!F51</f>
        <v>Fahrtkosten (Benzin, Fahrkarten)</v>
      </c>
      <c r="D2" s="1291"/>
      <c r="E2" s="1291"/>
      <c r="F2" s="1291"/>
      <c r="G2" s="1291"/>
      <c r="H2" s="1291"/>
      <c r="I2" s="1292"/>
      <c r="J2" s="1227" t="s">
        <v>8</v>
      </c>
      <c r="K2" s="1228"/>
      <c r="L2" s="1229"/>
      <c r="M2" s="134"/>
      <c r="N2" s="190">
        <f>IF(OR(B48="x",N3=1),0,1)</f>
        <v>1</v>
      </c>
      <c r="O2" s="188">
        <f>+EOMONTH(EÜR!$I$3,-1)+1</f>
        <v>46023</v>
      </c>
      <c r="P2" s="188">
        <f t="shared" ref="P2:Z2" si="0">+O3+1</f>
        <v>46054</v>
      </c>
      <c r="Q2" s="188">
        <f t="shared" si="0"/>
        <v>46082</v>
      </c>
      <c r="R2" s="188">
        <f t="shared" si="0"/>
        <v>46113</v>
      </c>
      <c r="S2" s="188">
        <f t="shared" si="0"/>
        <v>46143</v>
      </c>
      <c r="T2" s="188">
        <f t="shared" si="0"/>
        <v>46174</v>
      </c>
      <c r="U2" s="188">
        <f t="shared" si="0"/>
        <v>46204</v>
      </c>
      <c r="V2" s="188">
        <f t="shared" si="0"/>
        <v>46235</v>
      </c>
      <c r="W2" s="188">
        <f t="shared" si="0"/>
        <v>46266</v>
      </c>
      <c r="X2" s="188">
        <f t="shared" si="0"/>
        <v>46296</v>
      </c>
      <c r="Y2" s="188">
        <f t="shared" si="0"/>
        <v>46327</v>
      </c>
      <c r="Z2" s="188">
        <f t="shared" si="0"/>
        <v>46357</v>
      </c>
      <c r="AA2" s="48"/>
    </row>
    <row r="3" spans="1:28" ht="14.25" customHeight="1" thickTop="1">
      <c r="A3" s="36" t="s">
        <v>5</v>
      </c>
      <c r="B3" s="58" t="s">
        <v>1</v>
      </c>
      <c r="C3" s="59" t="s">
        <v>6</v>
      </c>
      <c r="D3" s="60"/>
      <c r="E3" s="310" t="s">
        <v>7</v>
      </c>
      <c r="F3" s="61" t="s">
        <v>4</v>
      </c>
      <c r="G3" s="62" t="s">
        <v>31</v>
      </c>
      <c r="H3" s="63" t="s">
        <v>33</v>
      </c>
      <c r="I3" s="64" t="s">
        <v>32</v>
      </c>
      <c r="J3" s="275" t="s">
        <v>34</v>
      </c>
      <c r="K3" s="199">
        <v>0</v>
      </c>
      <c r="L3" s="65" t="s">
        <v>5</v>
      </c>
      <c r="M3" s="135" t="s">
        <v>5</v>
      </c>
      <c r="N3" s="222">
        <f>IF(SUBTOTAL(109,K3:K47)&lt;&gt;SUM(K3:K47),1,0)</f>
        <v>0</v>
      </c>
      <c r="O3" s="189">
        <f>EOMONTH(O2,0)</f>
        <v>46053</v>
      </c>
      <c r="P3" s="189">
        <f t="shared" ref="P3:Z3" si="1">EOMONTH(P2,0)</f>
        <v>46081</v>
      </c>
      <c r="Q3" s="189">
        <f t="shared" si="1"/>
        <v>46112</v>
      </c>
      <c r="R3" s="189">
        <f t="shared" si="1"/>
        <v>46142</v>
      </c>
      <c r="S3" s="189">
        <f t="shared" si="1"/>
        <v>46173</v>
      </c>
      <c r="T3" s="189">
        <f t="shared" si="1"/>
        <v>46203</v>
      </c>
      <c r="U3" s="189">
        <f t="shared" si="1"/>
        <v>46234</v>
      </c>
      <c r="V3" s="189">
        <f t="shared" si="1"/>
        <v>46265</v>
      </c>
      <c r="W3" s="189">
        <f t="shared" si="1"/>
        <v>46295</v>
      </c>
      <c r="X3" s="189">
        <f t="shared" si="1"/>
        <v>46326</v>
      </c>
      <c r="Y3" s="189">
        <f t="shared" si="1"/>
        <v>46356</v>
      </c>
      <c r="Z3" s="189">
        <f t="shared" si="1"/>
        <v>46387</v>
      </c>
      <c r="AB3" s="14"/>
    </row>
    <row r="4" spans="1:28" ht="13.35" customHeight="1">
      <c r="A4" s="50" t="s">
        <v>5</v>
      </c>
      <c r="B4" s="141"/>
      <c r="C4" s="80"/>
      <c r="D4" s="93"/>
      <c r="E4" s="226"/>
      <c r="F4" s="89"/>
      <c r="G4" s="81"/>
      <c r="H4" s="82"/>
      <c r="I4" s="83" t="str">
        <f t="shared" ref="I4:I44" si="2">IF(G4&lt;&gt;"",+G4-G4/(1+H4/100),"")</f>
        <v/>
      </c>
      <c r="J4" s="361" t="str">
        <f t="shared" ref="J4:J44" si="3">IF(G4&lt;&gt;0,+G4-I4,"")</f>
        <v/>
      </c>
      <c r="K4" s="200">
        <v>1</v>
      </c>
      <c r="L4" s="133">
        <f>IF(B4&lt;$O$2,0,IF(B4&lt;$P$2,1,IF(B4&lt;$Q$2,2,IF(B4&lt;$R$2,3,IF(B4&lt;$S$2,4,IF(B4&lt;$T$2,5,IF(B4&lt;$U$2,6,IF(B4&lt;$V$2,7,IF(B4&lt;$W$2,8,IF(B4&lt;$X$2,9,IF(B4&lt;$Y$2,10,IF(B4&lt;$Z$2,11,IF(B4&lt;=$Z$3,12,0)))))))))))))</f>
        <v>0</v>
      </c>
      <c r="M4" s="135" t="s">
        <v>5</v>
      </c>
      <c r="N4" s="190">
        <f>+N10+AA12+AA16</f>
        <v>0</v>
      </c>
      <c r="O4" s="251" t="s">
        <v>36</v>
      </c>
      <c r="P4" s="251" t="s">
        <v>37</v>
      </c>
      <c r="Q4" s="251" t="s">
        <v>38</v>
      </c>
      <c r="R4" s="251" t="s">
        <v>39</v>
      </c>
      <c r="S4" s="251" t="s">
        <v>40</v>
      </c>
      <c r="T4" s="251" t="s">
        <v>41</v>
      </c>
      <c r="U4" s="251" t="s">
        <v>42</v>
      </c>
      <c r="V4" s="251" t="s">
        <v>43</v>
      </c>
      <c r="W4" s="251" t="s">
        <v>44</v>
      </c>
      <c r="X4" s="251" t="s">
        <v>45</v>
      </c>
      <c r="Y4" s="251" t="s">
        <v>46</v>
      </c>
      <c r="Z4" s="251" t="s">
        <v>47</v>
      </c>
      <c r="AA4" s="1209" t="s">
        <v>255</v>
      </c>
      <c r="AB4" s="1210"/>
    </row>
    <row r="5" spans="1:28" ht="13.35" customHeight="1">
      <c r="A5" s="50" t="s">
        <v>5</v>
      </c>
      <c r="B5" s="141"/>
      <c r="C5" s="80"/>
      <c r="D5" s="93"/>
      <c r="E5" s="226"/>
      <c r="F5" s="89"/>
      <c r="G5" s="81"/>
      <c r="H5" s="82"/>
      <c r="I5" s="83" t="str">
        <f t="shared" si="2"/>
        <v/>
      </c>
      <c r="J5" s="361" t="str">
        <f t="shared" si="3"/>
        <v/>
      </c>
      <c r="K5" s="200">
        <v>2</v>
      </c>
      <c r="L5" s="133">
        <f t="shared" ref="L5:L44" si="4">IF(B5&lt;$O$2,0,IF(B5&lt;$P$2,1,IF(B5&lt;$Q$2,2,IF(B5&lt;$R$2,3,IF(B5&lt;$S$2,4,IF(B5&lt;$T$2,5,IF(B5&lt;$U$2,6,IF(B5&lt;$V$2,7,IF(B5&lt;$W$2,8,IF(B5&lt;$X$2,9,IF(B5&lt;$Y$2,10,IF(B5&lt;$Z$2,11,IF(B5&lt;=$Z$3,12,0)))))))))))))</f>
        <v>0</v>
      </c>
      <c r="M5" s="135" t="s">
        <v>5</v>
      </c>
      <c r="O5" s="252">
        <f>SUMIFS($G$3:$G$47,$L$3:$L$47,1,$F$3:$F$47,"Konto")</f>
        <v>0</v>
      </c>
      <c r="P5" s="252">
        <f>SUMIFS($G$3:$G$47,$L$3:$L$47,2,$F$3:$F$47,"Konto")</f>
        <v>0</v>
      </c>
      <c r="Q5" s="252">
        <f>SUMIFS($G$3:$G$47,$L$3:$L$47,3,$F$3:$F$47,"Konto")</f>
        <v>0</v>
      </c>
      <c r="R5" s="252">
        <f>SUMIFS($G$3:$G$47,$L$3:$L$47,4,$F$3:$F$47,"Konto")</f>
        <v>0</v>
      </c>
      <c r="S5" s="252">
        <f>SUMIFS($G$3:$G$47,$L$3:$L$47,5,$F$3:$F$47,"Konto")</f>
        <v>0</v>
      </c>
      <c r="T5" s="252">
        <f>SUMIFS($G$3:$G$47,$L$3:$L$47,6,$F$3:$F$47,"Konto")</f>
        <v>0</v>
      </c>
      <c r="U5" s="252">
        <f>SUMIFS($G$3:$G$47,$L$3:$L$47,7,$F$3:$F$47,"Konto")</f>
        <v>0</v>
      </c>
      <c r="V5" s="252">
        <f>SUMIFS($G$3:$G$47,$L$3:$L$47,8,$F$3:$F$47,"Konto")</f>
        <v>0</v>
      </c>
      <c r="W5" s="252">
        <f>SUMIFS($G$3:$G$47,$L$3:$L$47,9,$F$3:$F$47,"Konto")</f>
        <v>0</v>
      </c>
      <c r="X5" s="252">
        <f>SUMIFS($G$3:$G$47,$L$3:$L$47,10,$F$3:$F$47,"Konto")</f>
        <v>0</v>
      </c>
      <c r="Y5" s="252">
        <f>SUMIFS($G$3:$G$47,$L$3:$L$47,11,$F$3:$F$47,"Konto")</f>
        <v>0</v>
      </c>
      <c r="Z5" s="252">
        <f>SUMIFS($G$3:$G$47,$L$3:$L$47,12,$F$3:$F$47,"Konto")</f>
        <v>0</v>
      </c>
      <c r="AA5" s="253">
        <f>SUM(O5:Z5)</f>
        <v>0</v>
      </c>
      <c r="AB5" s="254" t="s">
        <v>140</v>
      </c>
    </row>
    <row r="6" spans="1:28" ht="13.35" customHeight="1">
      <c r="A6" s="50" t="s">
        <v>5</v>
      </c>
      <c r="B6" s="141"/>
      <c r="C6" s="80"/>
      <c r="D6" s="93"/>
      <c r="E6" s="226"/>
      <c r="F6" s="89"/>
      <c r="G6" s="81"/>
      <c r="H6" s="82"/>
      <c r="I6" s="83" t="str">
        <f t="shared" si="2"/>
        <v/>
      </c>
      <c r="J6" s="361" t="str">
        <f t="shared" si="3"/>
        <v/>
      </c>
      <c r="K6" s="200">
        <v>3</v>
      </c>
      <c r="L6" s="133">
        <f t="shared" si="4"/>
        <v>0</v>
      </c>
      <c r="M6" s="135" t="s">
        <v>5</v>
      </c>
      <c r="N6" s="190"/>
      <c r="O6" s="252">
        <f>SUMIFS($G$3:$G$47,$L$3:$L$47,1,$F$3:$F$47,"Kreditkarte")</f>
        <v>0</v>
      </c>
      <c r="P6" s="252">
        <f>SUMIFS($G$3:$G$47,$L$3:$L$47,2,$F$3:$F$47,"Kreditkarte")</f>
        <v>0</v>
      </c>
      <c r="Q6" s="252">
        <f>SUMIFS($G$3:$G$47,$L$3:$L$47,3,$F$3:$F$47,"Kreditkarte")</f>
        <v>0</v>
      </c>
      <c r="R6" s="252">
        <f>SUMIFS($G$3:$G$47,$L$3:$L$47,4,$F$3:$F$47,"Kreditkarte")</f>
        <v>0</v>
      </c>
      <c r="S6" s="252">
        <f>SUMIFS($G$3:$G$47,$L$3:$L$47,5,$F$3:$F$47,"Kreditkarte")</f>
        <v>0</v>
      </c>
      <c r="T6" s="252">
        <f>SUMIFS($G$3:$G$47,$L$3:$L$47,6,$F$3:$F$47,"Kreditkarte")</f>
        <v>0</v>
      </c>
      <c r="U6" s="252">
        <f>SUMIFS($G$3:$G$47,$L$3:$L$47,7,$F$3:$F$47,"Kreditkarte")</f>
        <v>0</v>
      </c>
      <c r="V6" s="252">
        <f>SUMIFS($G$3:$G$47,$L$3:$L$47,8,$F$3:$F$47,"Kreditkarte")</f>
        <v>0</v>
      </c>
      <c r="W6" s="252">
        <f>SUMIFS($G$3:$G$47,$L$3:$L$47,9,$F$3:$F$47,"Kreditkarte")</f>
        <v>0</v>
      </c>
      <c r="X6" s="252">
        <f>SUMIFS($G$3:$G$47,$L$3:$L$47,10,$F$3:$F$47,"Kreditkarte")</f>
        <v>0</v>
      </c>
      <c r="Y6" s="252">
        <f>SUMIFS($G$3:$G$47,$L$3:$L$47,11,$F$3:$F$47,"Kreditkarte")</f>
        <v>0</v>
      </c>
      <c r="Z6" s="252">
        <f>SUMIFS($G$3:$G$47,$L$3:$L$47,12,$F$3:$F$47,"Kreditkarte")</f>
        <v>0</v>
      </c>
      <c r="AA6" s="255">
        <f t="shared" ref="AA6:AA8" si="5">SUM(O6:Z6)</f>
        <v>0</v>
      </c>
      <c r="AB6" s="256" t="s">
        <v>142</v>
      </c>
    </row>
    <row r="7" spans="1:28" ht="13.35" customHeight="1">
      <c r="A7" s="50" t="s">
        <v>5</v>
      </c>
      <c r="B7" s="141"/>
      <c r="C7" s="80"/>
      <c r="D7" s="93"/>
      <c r="E7" s="226"/>
      <c r="F7" s="89"/>
      <c r="G7" s="81"/>
      <c r="H7" s="82"/>
      <c r="I7" s="83" t="str">
        <f t="shared" si="2"/>
        <v/>
      </c>
      <c r="J7" s="361" t="str">
        <f t="shared" si="3"/>
        <v/>
      </c>
      <c r="K7" s="200">
        <v>4</v>
      </c>
      <c r="L7" s="133">
        <f t="shared" si="4"/>
        <v>0</v>
      </c>
      <c r="M7" s="135" t="s">
        <v>5</v>
      </c>
      <c r="O7" s="252">
        <f>SUMIFS($G$3:$G$47,$L$3:$L$47,1,$F$3:$F$47,"Geldbeutel")</f>
        <v>0</v>
      </c>
      <c r="P7" s="252">
        <f>SUMIFS($G$3:$G$47,$L$3:$L$47,2,$F$3:$F$47,"Geldbeutel")</f>
        <v>0</v>
      </c>
      <c r="Q7" s="252">
        <f>SUMIFS($G$3:$G$47,$L$3:$L$47,3,$F$3:$F$47,"Geldbeutel")</f>
        <v>0</v>
      </c>
      <c r="R7" s="252">
        <f>SUMIFS($G$3:$G$47,$L$3:$L$47,4,$F$3:$F$47,"Geldbeutel")</f>
        <v>0</v>
      </c>
      <c r="S7" s="252">
        <f>SUMIFS($G$3:$G$47,$L$3:$L$47,5,$F$3:$F$47,"Geldbeutel")</f>
        <v>0</v>
      </c>
      <c r="T7" s="252">
        <f>SUMIFS($G$3:$G$47,$L$3:$L$47,6,$F$3:$F$47,"Geldbeutel")</f>
        <v>0</v>
      </c>
      <c r="U7" s="252">
        <f>SUMIFS($G$3:$G$47,$L$3:$L$47,7,$F$3:$F$47,"Geldbeutel")</f>
        <v>0</v>
      </c>
      <c r="V7" s="252">
        <f>SUMIFS($G$3:$G$47,$L$3:$L$47,8,$F$3:$F$47,"Geldbeutel")</f>
        <v>0</v>
      </c>
      <c r="W7" s="252">
        <f>SUMIFS($G$3:$G$47,$L$3:$L$47,9,$F$3:$F$47,"Geldbeutel")</f>
        <v>0</v>
      </c>
      <c r="X7" s="252">
        <f>SUMIFS($G$3:$G$47,$L$3:$L$47,10,$F$3:$F$47,"Geldbeutel")</f>
        <v>0</v>
      </c>
      <c r="Y7" s="252">
        <f>SUMIFS($G$3:$G$47,$L$3:$L$47,11,$F$3:$F$47,"Geldbeutel")</f>
        <v>0</v>
      </c>
      <c r="Z7" s="252">
        <f>SUMIFS($G$3:$G$47,$L$3:$L$47,12,$F$3:$F$47,"Geldbeutel")</f>
        <v>0</v>
      </c>
      <c r="AA7" s="253">
        <f t="shared" si="5"/>
        <v>0</v>
      </c>
      <c r="AB7" s="254" t="s">
        <v>139</v>
      </c>
    </row>
    <row r="8" spans="1:28" ht="13.35" customHeight="1">
      <c r="A8" s="50" t="s">
        <v>5</v>
      </c>
      <c r="B8" s="141"/>
      <c r="C8" s="80"/>
      <c r="D8" s="93"/>
      <c r="E8" s="226"/>
      <c r="F8" s="89"/>
      <c r="G8" s="81"/>
      <c r="H8" s="82"/>
      <c r="I8" s="83" t="str">
        <f t="shared" si="2"/>
        <v/>
      </c>
      <c r="J8" s="361" t="str">
        <f t="shared" si="3"/>
        <v/>
      </c>
      <c r="K8" s="200">
        <v>5</v>
      </c>
      <c r="L8" s="133">
        <f t="shared" si="4"/>
        <v>0</v>
      </c>
      <c r="M8" s="135" t="s">
        <v>5</v>
      </c>
      <c r="O8" s="252">
        <f>SUMIFS($G$3:$G$47,$L$3:$L$47,1,$F$3:$F$47,"X")</f>
        <v>0</v>
      </c>
      <c r="P8" s="252">
        <f>SUMIFS($G$3:$G$47,$L$3:$L$47,2,$F$3:$F$47,"X")</f>
        <v>0</v>
      </c>
      <c r="Q8" s="252">
        <f>SUMIFS($G$3:$G$47,$L$3:$L$47,3,$F$3:$F$47,"X")</f>
        <v>0</v>
      </c>
      <c r="R8" s="252">
        <f>SUMIFS($G$3:$G$47,$L$3:$L$47,4,$F$3:$F$47,"X")</f>
        <v>0</v>
      </c>
      <c r="S8" s="252">
        <f>SUMIFS($G$3:$G$47,$L$3:$L$47,5,$F$3:$F$47,"X")</f>
        <v>0</v>
      </c>
      <c r="T8" s="252">
        <f>SUMIFS($G$3:$G$47,$L$3:$L$47,6,$F$3:$F$47,"X")</f>
        <v>0</v>
      </c>
      <c r="U8" s="252">
        <f>SUMIFS($G$3:$G$47,$L$3:$L$47,7,$F$3:$F$47,"X")</f>
        <v>0</v>
      </c>
      <c r="V8" s="252">
        <f>SUMIFS($G$3:$G$47,$L$3:$L$47,8,$F$3:$F$47,"X")</f>
        <v>0</v>
      </c>
      <c r="W8" s="252">
        <f>SUMIFS($G$3:$G$47,$L$3:$L$47,9,$F$3:$F$47,"X")</f>
        <v>0</v>
      </c>
      <c r="X8" s="252">
        <f>SUMIFS($G$3:$G$47,$L$3:$L$47,10,$F$3:$F$47,"X")</f>
        <v>0</v>
      </c>
      <c r="Y8" s="252">
        <f>SUMIFS($G$3:$G$47,$L$3:$L$47,11,$F$3:$F$47,"X")</f>
        <v>0</v>
      </c>
      <c r="Z8" s="252">
        <f>SUMIFS($G$3:$G$47,$L$3:$L$47,12,$F$3:$F$47,"X")</f>
        <v>0</v>
      </c>
      <c r="AA8" s="255">
        <f t="shared" si="5"/>
        <v>0</v>
      </c>
      <c r="AB8" s="256" t="s">
        <v>192</v>
      </c>
    </row>
    <row r="9" spans="1:28" ht="13.35" customHeight="1">
      <c r="A9" s="50" t="s">
        <v>5</v>
      </c>
      <c r="B9" s="141"/>
      <c r="C9" s="80"/>
      <c r="D9" s="93"/>
      <c r="E9" s="226"/>
      <c r="F9" s="89"/>
      <c r="G9" s="81"/>
      <c r="H9" s="82"/>
      <c r="I9" s="83" t="str">
        <f t="shared" si="2"/>
        <v/>
      </c>
      <c r="J9" s="361" t="str">
        <f t="shared" si="3"/>
        <v/>
      </c>
      <c r="K9" s="200">
        <v>6</v>
      </c>
      <c r="L9" s="133">
        <f t="shared" si="4"/>
        <v>0</v>
      </c>
      <c r="M9" s="135" t="s">
        <v>5</v>
      </c>
      <c r="N9" s="191">
        <f>IF(OR(AND(AA14&lt;&gt;0,B48="x"),(O14+AA13)&lt;&gt;H48),1,0)</f>
        <v>0</v>
      </c>
      <c r="O9" s="257">
        <f>SUM(O5:O8)</f>
        <v>0</v>
      </c>
      <c r="P9" s="257">
        <f t="shared" ref="P9:Z9" si="6">SUM(P5:P8)</f>
        <v>0</v>
      </c>
      <c r="Q9" s="257">
        <f t="shared" si="6"/>
        <v>0</v>
      </c>
      <c r="R9" s="257">
        <f t="shared" si="6"/>
        <v>0</v>
      </c>
      <c r="S9" s="257">
        <f t="shared" si="6"/>
        <v>0</v>
      </c>
      <c r="T9" s="257">
        <f t="shared" si="6"/>
        <v>0</v>
      </c>
      <c r="U9" s="257">
        <f t="shared" si="6"/>
        <v>0</v>
      </c>
      <c r="V9" s="257">
        <f t="shared" si="6"/>
        <v>0</v>
      </c>
      <c r="W9" s="257">
        <f t="shared" si="6"/>
        <v>0</v>
      </c>
      <c r="X9" s="257">
        <f t="shared" si="6"/>
        <v>0</v>
      </c>
      <c r="Y9" s="257">
        <f t="shared" si="6"/>
        <v>0</v>
      </c>
      <c r="Z9" s="257">
        <f t="shared" si="6"/>
        <v>0</v>
      </c>
      <c r="AA9" s="1211" t="s">
        <v>197</v>
      </c>
      <c r="AB9" s="1212"/>
    </row>
    <row r="10" spans="1:28" ht="13.35" customHeight="1">
      <c r="A10" s="50" t="s">
        <v>5</v>
      </c>
      <c r="B10" s="141"/>
      <c r="C10" s="80"/>
      <c r="D10" s="93"/>
      <c r="E10" s="226"/>
      <c r="F10" s="89"/>
      <c r="G10" s="81"/>
      <c r="H10" s="82"/>
      <c r="I10" s="83" t="str">
        <f t="shared" si="2"/>
        <v/>
      </c>
      <c r="J10" s="361" t="str">
        <f t="shared" si="3"/>
        <v/>
      </c>
      <c r="K10" s="200">
        <v>7</v>
      </c>
      <c r="L10" s="133">
        <f t="shared" si="4"/>
        <v>0</v>
      </c>
      <c r="M10" s="135" t="s">
        <v>5</v>
      </c>
      <c r="N10" s="259">
        <f>IF(O10+AA10&lt;&gt;G48,1,0)</f>
        <v>0</v>
      </c>
      <c r="O10" s="1230">
        <f>SUM(O5:Z8)</f>
        <v>0</v>
      </c>
      <c r="P10" s="1231"/>
      <c r="Q10" s="1231"/>
      <c r="R10" s="1231"/>
      <c r="S10" s="1231"/>
      <c r="T10" s="1231"/>
      <c r="U10" s="1231"/>
      <c r="V10" s="1231"/>
      <c r="W10" s="1231"/>
      <c r="X10" s="1231"/>
      <c r="Y10" s="1231"/>
      <c r="Z10" s="1232"/>
      <c r="AA10" s="292">
        <f>+G48-AA7-AA6-AA5-AA8</f>
        <v>0</v>
      </c>
      <c r="AB10" s="293" t="s">
        <v>205</v>
      </c>
    </row>
    <row r="11" spans="1:28" ht="13.35" customHeight="1">
      <c r="A11" s="50" t="s">
        <v>5</v>
      </c>
      <c r="B11" s="141"/>
      <c r="C11" s="80"/>
      <c r="D11" s="93"/>
      <c r="E11" s="226"/>
      <c r="F11" s="89"/>
      <c r="G11" s="81"/>
      <c r="H11" s="82"/>
      <c r="I11" s="83" t="str">
        <f t="shared" si="2"/>
        <v/>
      </c>
      <c r="J11" s="361" t="str">
        <f t="shared" si="3"/>
        <v/>
      </c>
      <c r="K11" s="200">
        <v>8</v>
      </c>
      <c r="L11" s="133">
        <f t="shared" si="4"/>
        <v>0</v>
      </c>
      <c r="M11" s="135" t="s">
        <v>5</v>
      </c>
      <c r="O11" s="1219" t="str">
        <f>IF(N4&gt;0,"Fehler!","")</f>
        <v/>
      </c>
      <c r="P11" s="1219"/>
      <c r="Q11" s="1219"/>
      <c r="R11" s="1219"/>
      <c r="S11" s="1219"/>
      <c r="T11" s="1219"/>
      <c r="U11" s="1219"/>
      <c r="V11" s="1219"/>
      <c r="W11" s="1219"/>
      <c r="X11" s="1219"/>
      <c r="Y11" s="1219"/>
      <c r="Z11" s="1219"/>
    </row>
    <row r="12" spans="1:28" ht="13.35" customHeight="1">
      <c r="A12" s="50" t="s">
        <v>5</v>
      </c>
      <c r="B12" s="141"/>
      <c r="C12" s="80"/>
      <c r="D12" s="93"/>
      <c r="E12" s="226"/>
      <c r="F12" s="89"/>
      <c r="G12" s="81"/>
      <c r="H12" s="82"/>
      <c r="I12" s="83" t="str">
        <f t="shared" si="2"/>
        <v/>
      </c>
      <c r="J12" s="361" t="str">
        <f t="shared" si="3"/>
        <v/>
      </c>
      <c r="K12" s="200">
        <v>9</v>
      </c>
      <c r="L12" s="133">
        <f t="shared" si="4"/>
        <v>0</v>
      </c>
      <c r="M12" s="135" t="s">
        <v>5</v>
      </c>
      <c r="O12" s="203" t="s">
        <v>36</v>
      </c>
      <c r="P12" s="203" t="s">
        <v>37</v>
      </c>
      <c r="Q12" s="203" t="s">
        <v>38</v>
      </c>
      <c r="R12" s="203" t="s">
        <v>39</v>
      </c>
      <c r="S12" s="203" t="s">
        <v>40</v>
      </c>
      <c r="T12" s="203" t="s">
        <v>41</v>
      </c>
      <c r="U12" s="203" t="s">
        <v>42</v>
      </c>
      <c r="V12" s="203" t="s">
        <v>43</v>
      </c>
      <c r="W12" s="203" t="s">
        <v>44</v>
      </c>
      <c r="X12" s="203" t="s">
        <v>45</v>
      </c>
      <c r="Y12" s="203" t="s">
        <v>46</v>
      </c>
      <c r="Z12" s="203" t="s">
        <v>47</v>
      </c>
      <c r="AA12" s="221">
        <f>IF(O14+AA13&lt;&gt;H48,1,0)</f>
        <v>0</v>
      </c>
    </row>
    <row r="13" spans="1:28" ht="13.35" customHeight="1">
      <c r="A13" s="50" t="s">
        <v>5</v>
      </c>
      <c r="B13" s="141"/>
      <c r="C13" s="80"/>
      <c r="D13" s="93"/>
      <c r="E13" s="226"/>
      <c r="F13" s="89"/>
      <c r="G13" s="81"/>
      <c r="H13" s="82"/>
      <c r="I13" s="83" t="str">
        <f t="shared" si="2"/>
        <v/>
      </c>
      <c r="J13" s="361" t="str">
        <f t="shared" si="3"/>
        <v/>
      </c>
      <c r="K13" s="200">
        <v>10</v>
      </c>
      <c r="L13" s="133">
        <f t="shared" si="4"/>
        <v>0</v>
      </c>
      <c r="M13" s="135" t="s">
        <v>5</v>
      </c>
      <c r="O13" s="187">
        <f>SUMIF($L$3:$L$47,1,$I$3:$I$47)</f>
        <v>0</v>
      </c>
      <c r="P13" s="187">
        <f>SUMIF($L$3:$L$47,2,$I$3:$I$47)</f>
        <v>0</v>
      </c>
      <c r="Q13" s="187">
        <f>SUMIF($L$3:$L$47,3,$I$3:$I$47)</f>
        <v>0</v>
      </c>
      <c r="R13" s="187">
        <f>SUMIF($L$3:$L$47,4,$I$3:$I$47)</f>
        <v>0</v>
      </c>
      <c r="S13" s="187">
        <f>SUMIF($L$3:$L$47,5,$I$3:$I$47)</f>
        <v>0</v>
      </c>
      <c r="T13" s="187">
        <f>SUMIF($L$3:$L$47,6,$I$3:$I$47)</f>
        <v>0</v>
      </c>
      <c r="U13" s="187">
        <f>SUMIF($L$3:$L$47,7,$I$3:$I$47)</f>
        <v>0</v>
      </c>
      <c r="V13" s="187">
        <f>SUMIF($L$3:$L$47,8,$I$3:$I$47)</f>
        <v>0</v>
      </c>
      <c r="W13" s="187">
        <f>SUMIF($L$3:$L$47,9,$I$3:$I$47)</f>
        <v>0</v>
      </c>
      <c r="X13" s="187">
        <f>SUMIF($L$3:$L$47,10,$I$3:$I$47)</f>
        <v>0</v>
      </c>
      <c r="Y13" s="187">
        <f>SUMIF($L$3:$L$47,11,$I$3:$I$47)</f>
        <v>0</v>
      </c>
      <c r="Z13" s="187">
        <f>SUMIF($L$3:$L$47,12,$I$3:$I$47)</f>
        <v>0</v>
      </c>
      <c r="AA13" s="1220">
        <f>SUMIF($L$3:$L$47,0,$I$3:$I$47)</f>
        <v>0</v>
      </c>
      <c r="AB13" s="1221"/>
    </row>
    <row r="14" spans="1:28" ht="13.35" customHeight="1">
      <c r="A14" s="50" t="s">
        <v>5</v>
      </c>
      <c r="B14" s="141"/>
      <c r="C14" s="80"/>
      <c r="D14" s="93"/>
      <c r="E14" s="226"/>
      <c r="F14" s="89"/>
      <c r="G14" s="81"/>
      <c r="H14" s="82"/>
      <c r="I14" s="83" t="str">
        <f t="shared" si="2"/>
        <v/>
      </c>
      <c r="J14" s="361" t="str">
        <f t="shared" si="3"/>
        <v/>
      </c>
      <c r="K14" s="200">
        <v>11</v>
      </c>
      <c r="L14" s="133">
        <f t="shared" si="4"/>
        <v>0</v>
      </c>
      <c r="M14" s="135" t="s">
        <v>5</v>
      </c>
      <c r="O14" s="1299">
        <f>SUM(O13:Z13)</f>
        <v>0</v>
      </c>
      <c r="P14" s="1300"/>
      <c r="Q14" s="1300"/>
      <c r="R14" s="1300"/>
      <c r="S14" s="1300"/>
      <c r="T14" s="1300"/>
      <c r="U14" s="1300"/>
      <c r="V14" s="1300"/>
      <c r="W14" s="1300"/>
      <c r="X14" s="1300"/>
      <c r="Y14" s="1300"/>
      <c r="Z14" s="1301"/>
      <c r="AA14" s="1222">
        <f>SUM(O13:Z13)+AA13</f>
        <v>0</v>
      </c>
      <c r="AB14" s="1223"/>
    </row>
    <row r="15" spans="1:28" ht="13.35" customHeight="1">
      <c r="A15" s="50" t="s">
        <v>5</v>
      </c>
      <c r="B15" s="141"/>
      <c r="C15" s="260"/>
      <c r="D15" s="93"/>
      <c r="E15" s="226"/>
      <c r="F15" s="89"/>
      <c r="G15" s="81"/>
      <c r="H15" s="82"/>
      <c r="I15" s="83" t="str">
        <f t="shared" si="2"/>
        <v/>
      </c>
      <c r="J15" s="361" t="str">
        <f t="shared" si="3"/>
        <v/>
      </c>
      <c r="K15" s="200">
        <v>12</v>
      </c>
      <c r="L15" s="133">
        <f t="shared" si="4"/>
        <v>0</v>
      </c>
      <c r="M15" s="135" t="s">
        <v>5</v>
      </c>
      <c r="O15" s="244"/>
      <c r="P15" s="244"/>
      <c r="Q15" s="244"/>
      <c r="R15" s="244"/>
      <c r="S15" s="244"/>
      <c r="T15" s="244"/>
      <c r="U15" s="244"/>
      <c r="V15" s="244"/>
      <c r="W15" s="244"/>
      <c r="X15" s="244"/>
      <c r="Y15" s="244"/>
      <c r="Z15" s="244"/>
      <c r="AA15" s="244"/>
      <c r="AB15" s="244"/>
    </row>
    <row r="16" spans="1:28" ht="13.35" customHeight="1">
      <c r="A16" s="50" t="s">
        <v>5</v>
      </c>
      <c r="B16" s="141"/>
      <c r="C16" s="80"/>
      <c r="D16" s="93"/>
      <c r="E16" s="226"/>
      <c r="F16" s="89"/>
      <c r="G16" s="81"/>
      <c r="H16" s="82"/>
      <c r="I16" s="83" t="str">
        <f t="shared" si="2"/>
        <v/>
      </c>
      <c r="J16" s="361" t="str">
        <f t="shared" si="3"/>
        <v/>
      </c>
      <c r="K16" s="200">
        <v>13</v>
      </c>
      <c r="L16" s="133">
        <f t="shared" si="4"/>
        <v>0</v>
      </c>
      <c r="M16" s="135" t="s">
        <v>5</v>
      </c>
      <c r="O16" s="244"/>
      <c r="P16" s="244"/>
      <c r="Q16" s="244"/>
      <c r="R16" s="244"/>
      <c r="S16" s="244"/>
      <c r="T16" s="244"/>
      <c r="U16" s="244"/>
      <c r="V16" s="244"/>
      <c r="W16" s="244"/>
      <c r="X16" s="244"/>
      <c r="Y16" s="244"/>
      <c r="Z16" s="244"/>
      <c r="AA16" s="244"/>
      <c r="AB16" s="244"/>
    </row>
    <row r="17" spans="1:28" ht="13.35" customHeight="1">
      <c r="A17" s="50" t="s">
        <v>5</v>
      </c>
      <c r="B17" s="141"/>
      <c r="C17" s="80"/>
      <c r="D17" s="93"/>
      <c r="E17" s="226"/>
      <c r="F17" s="89"/>
      <c r="G17" s="81"/>
      <c r="H17" s="82"/>
      <c r="I17" s="83" t="str">
        <f t="shared" si="2"/>
        <v/>
      </c>
      <c r="J17" s="361" t="str">
        <f t="shared" si="3"/>
        <v/>
      </c>
      <c r="K17" s="200">
        <v>14</v>
      </c>
      <c r="L17" s="133">
        <f t="shared" si="4"/>
        <v>0</v>
      </c>
      <c r="M17" s="135" t="s">
        <v>5</v>
      </c>
      <c r="O17" s="244"/>
      <c r="P17" s="244"/>
      <c r="Q17" s="244"/>
      <c r="R17" s="244"/>
      <c r="S17" s="244"/>
      <c r="T17" s="244"/>
      <c r="U17" s="244"/>
      <c r="V17" s="244"/>
      <c r="W17" s="244"/>
      <c r="X17" s="244"/>
      <c r="Y17" s="244"/>
      <c r="Z17" s="244"/>
      <c r="AA17" s="244"/>
      <c r="AB17" s="244"/>
    </row>
    <row r="18" spans="1:28" ht="13.35" customHeight="1">
      <c r="A18" s="50" t="s">
        <v>5</v>
      </c>
      <c r="B18" s="141"/>
      <c r="C18" s="80"/>
      <c r="D18" s="93"/>
      <c r="E18" s="226"/>
      <c r="F18" s="89"/>
      <c r="G18" s="81"/>
      <c r="H18" s="82"/>
      <c r="I18" s="83" t="str">
        <f t="shared" si="2"/>
        <v/>
      </c>
      <c r="J18" s="361" t="str">
        <f t="shared" si="3"/>
        <v/>
      </c>
      <c r="K18" s="200">
        <v>15</v>
      </c>
      <c r="L18" s="133">
        <f t="shared" si="4"/>
        <v>0</v>
      </c>
      <c r="M18" s="135" t="s">
        <v>5</v>
      </c>
      <c r="O18" s="244"/>
      <c r="P18" s="244"/>
      <c r="Q18" s="244"/>
      <c r="R18" s="244"/>
      <c r="S18" s="244"/>
      <c r="T18" s="244"/>
      <c r="U18" s="244"/>
      <c r="V18" s="244"/>
      <c r="W18" s="244"/>
      <c r="X18" s="244"/>
      <c r="Y18" s="244"/>
      <c r="Z18" s="244"/>
      <c r="AA18" s="244"/>
      <c r="AB18" s="244"/>
    </row>
    <row r="19" spans="1:28" ht="13.35" customHeight="1">
      <c r="A19" s="50" t="s">
        <v>5</v>
      </c>
      <c r="B19" s="141"/>
      <c r="C19" s="80"/>
      <c r="D19" s="93"/>
      <c r="E19" s="226"/>
      <c r="F19" s="89"/>
      <c r="G19" s="81"/>
      <c r="H19" s="82"/>
      <c r="I19" s="83" t="str">
        <f t="shared" si="2"/>
        <v/>
      </c>
      <c r="J19" s="361" t="str">
        <f t="shared" si="3"/>
        <v/>
      </c>
      <c r="K19" s="200">
        <v>16</v>
      </c>
      <c r="L19" s="133">
        <f t="shared" si="4"/>
        <v>0</v>
      </c>
      <c r="M19" s="135" t="s">
        <v>5</v>
      </c>
      <c r="O19" s="244"/>
      <c r="P19" s="244"/>
      <c r="Q19" s="244"/>
      <c r="R19" s="244"/>
      <c r="S19" s="244"/>
      <c r="T19" s="244"/>
      <c r="U19" s="244"/>
      <c r="V19" s="244"/>
      <c r="W19" s="244"/>
      <c r="X19" s="244"/>
      <c r="Y19" s="244"/>
      <c r="Z19" s="244"/>
      <c r="AA19" s="244"/>
      <c r="AB19" s="244"/>
    </row>
    <row r="20" spans="1:28" ht="13.35" customHeight="1">
      <c r="A20" s="50" t="s">
        <v>5</v>
      </c>
      <c r="B20" s="141"/>
      <c r="C20" s="80"/>
      <c r="D20" s="93"/>
      <c r="E20" s="226"/>
      <c r="F20" s="89"/>
      <c r="G20" s="81"/>
      <c r="H20" s="82"/>
      <c r="I20" s="83" t="str">
        <f t="shared" si="2"/>
        <v/>
      </c>
      <c r="J20" s="361" t="str">
        <f t="shared" si="3"/>
        <v/>
      </c>
      <c r="K20" s="200">
        <v>17</v>
      </c>
      <c r="L20" s="133">
        <f t="shared" si="4"/>
        <v>0</v>
      </c>
      <c r="M20" s="135" t="s">
        <v>5</v>
      </c>
      <c r="O20" s="244"/>
      <c r="P20" s="244"/>
      <c r="Q20" s="244"/>
      <c r="R20" s="244"/>
      <c r="S20" s="244"/>
      <c r="T20" s="244"/>
      <c r="U20" s="244"/>
      <c r="V20" s="244"/>
      <c r="W20" s="244"/>
      <c r="X20" s="244"/>
      <c r="Y20" s="244"/>
      <c r="Z20" s="244"/>
      <c r="AA20" s="244"/>
      <c r="AB20" s="244"/>
    </row>
    <row r="21" spans="1:28" ht="13.35" customHeight="1">
      <c r="A21" s="50" t="s">
        <v>5</v>
      </c>
      <c r="B21" s="141"/>
      <c r="C21" s="80"/>
      <c r="D21" s="93"/>
      <c r="E21" s="226"/>
      <c r="F21" s="89"/>
      <c r="G21" s="81"/>
      <c r="H21" s="82"/>
      <c r="I21" s="83" t="str">
        <f t="shared" si="2"/>
        <v/>
      </c>
      <c r="J21" s="361" t="str">
        <f t="shared" si="3"/>
        <v/>
      </c>
      <c r="K21" s="200">
        <v>18</v>
      </c>
      <c r="L21" s="133">
        <f t="shared" si="4"/>
        <v>0</v>
      </c>
      <c r="M21" s="135" t="s">
        <v>5</v>
      </c>
      <c r="O21" s="244"/>
      <c r="P21" s="244"/>
      <c r="Q21" s="244"/>
      <c r="R21" s="244"/>
      <c r="S21" s="244"/>
      <c r="T21" s="244"/>
      <c r="U21" s="244"/>
      <c r="V21" s="244"/>
      <c r="W21" s="244"/>
      <c r="X21" s="244"/>
      <c r="Y21" s="244"/>
      <c r="Z21" s="244"/>
      <c r="AA21" s="244"/>
      <c r="AB21" s="244"/>
    </row>
    <row r="22" spans="1:28" ht="13.35" customHeight="1">
      <c r="A22" s="50" t="s">
        <v>5</v>
      </c>
      <c r="B22" s="141"/>
      <c r="C22" s="80"/>
      <c r="D22" s="93"/>
      <c r="E22" s="226"/>
      <c r="F22" s="89"/>
      <c r="G22" s="81"/>
      <c r="H22" s="82"/>
      <c r="I22" s="83" t="str">
        <f t="shared" si="2"/>
        <v/>
      </c>
      <c r="J22" s="361" t="str">
        <f t="shared" si="3"/>
        <v/>
      </c>
      <c r="K22" s="200">
        <v>19</v>
      </c>
      <c r="L22" s="133">
        <f t="shared" si="4"/>
        <v>0</v>
      </c>
      <c r="M22" s="135" t="s">
        <v>5</v>
      </c>
      <c r="O22" s="244"/>
      <c r="P22" s="244"/>
      <c r="Q22" s="244"/>
      <c r="R22" s="244"/>
      <c r="S22" s="244"/>
      <c r="T22" s="244"/>
      <c r="U22" s="244"/>
      <c r="V22" s="244"/>
      <c r="W22" s="244"/>
      <c r="X22" s="244"/>
      <c r="Y22" s="244"/>
      <c r="Z22" s="244"/>
      <c r="AA22" s="244"/>
      <c r="AB22" s="244"/>
    </row>
    <row r="23" spans="1:28" ht="13.35" customHeight="1">
      <c r="A23" s="50" t="s">
        <v>5</v>
      </c>
      <c r="B23" s="141"/>
      <c r="C23" s="80"/>
      <c r="D23" s="94"/>
      <c r="E23" s="226"/>
      <c r="F23" s="89"/>
      <c r="G23" s="81"/>
      <c r="H23" s="82"/>
      <c r="I23" s="83" t="str">
        <f t="shared" si="2"/>
        <v/>
      </c>
      <c r="J23" s="361" t="str">
        <f t="shared" si="3"/>
        <v/>
      </c>
      <c r="K23" s="200">
        <v>20</v>
      </c>
      <c r="L23" s="133">
        <f t="shared" si="4"/>
        <v>0</v>
      </c>
      <c r="M23" s="135" t="s">
        <v>5</v>
      </c>
      <c r="O23" s="244"/>
      <c r="P23" s="244"/>
      <c r="Q23" s="244"/>
      <c r="R23" s="244"/>
      <c r="S23" s="244"/>
      <c r="T23" s="244"/>
      <c r="U23" s="244"/>
      <c r="V23" s="244"/>
      <c r="W23" s="244"/>
      <c r="X23" s="244"/>
      <c r="Y23" s="244"/>
      <c r="Z23" s="244"/>
      <c r="AA23" s="244"/>
      <c r="AB23" s="244"/>
    </row>
    <row r="24" spans="1:28" ht="13.35" customHeight="1">
      <c r="A24" s="50" t="s">
        <v>5</v>
      </c>
      <c r="B24" s="141"/>
      <c r="C24" s="80"/>
      <c r="D24" s="93"/>
      <c r="E24" s="226"/>
      <c r="F24" s="89"/>
      <c r="G24" s="81"/>
      <c r="H24" s="82"/>
      <c r="I24" s="83" t="str">
        <f t="shared" si="2"/>
        <v/>
      </c>
      <c r="J24" s="361" t="str">
        <f t="shared" si="3"/>
        <v/>
      </c>
      <c r="K24" s="200">
        <v>21</v>
      </c>
      <c r="L24" s="133">
        <f t="shared" si="4"/>
        <v>0</v>
      </c>
      <c r="M24" s="135" t="s">
        <v>5</v>
      </c>
      <c r="O24" s="244"/>
      <c r="P24" s="244"/>
      <c r="Q24" s="244"/>
      <c r="R24" s="244"/>
      <c r="S24" s="244"/>
      <c r="T24" s="244"/>
      <c r="U24" s="244"/>
      <c r="V24" s="244"/>
      <c r="W24" s="244"/>
      <c r="X24" s="244"/>
      <c r="Y24" s="244"/>
      <c r="Z24" s="244"/>
      <c r="AA24" s="244"/>
      <c r="AB24" s="244"/>
    </row>
    <row r="25" spans="1:28" ht="13.35" customHeight="1">
      <c r="A25" s="50" t="s">
        <v>5</v>
      </c>
      <c r="B25" s="141"/>
      <c r="C25" s="80"/>
      <c r="D25" s="93"/>
      <c r="E25" s="226"/>
      <c r="F25" s="89"/>
      <c r="G25" s="81"/>
      <c r="H25" s="82"/>
      <c r="I25" s="83" t="str">
        <f t="shared" si="2"/>
        <v/>
      </c>
      <c r="J25" s="361" t="str">
        <f t="shared" si="3"/>
        <v/>
      </c>
      <c r="K25" s="200">
        <v>22</v>
      </c>
      <c r="L25" s="133">
        <f t="shared" si="4"/>
        <v>0</v>
      </c>
      <c r="M25" s="135" t="s">
        <v>5</v>
      </c>
      <c r="O25" s="244"/>
      <c r="P25" s="244"/>
      <c r="Q25" s="244"/>
      <c r="R25" s="244"/>
      <c r="S25" s="244"/>
      <c r="T25" s="244"/>
      <c r="U25" s="244"/>
      <c r="V25" s="244"/>
      <c r="W25" s="244"/>
      <c r="X25" s="244"/>
      <c r="Y25" s="244"/>
      <c r="Z25" s="244"/>
      <c r="AA25" s="244"/>
      <c r="AB25" s="244"/>
    </row>
    <row r="26" spans="1:28" ht="13.35" customHeight="1">
      <c r="A26" s="50" t="s">
        <v>5</v>
      </c>
      <c r="B26" s="141"/>
      <c r="C26" s="80"/>
      <c r="D26" s="93"/>
      <c r="E26" s="226"/>
      <c r="F26" s="89"/>
      <c r="G26" s="81"/>
      <c r="H26" s="82"/>
      <c r="I26" s="83" t="str">
        <f t="shared" si="2"/>
        <v/>
      </c>
      <c r="J26" s="361" t="str">
        <f t="shared" si="3"/>
        <v/>
      </c>
      <c r="K26" s="200">
        <v>23</v>
      </c>
      <c r="L26" s="133">
        <f t="shared" si="4"/>
        <v>0</v>
      </c>
      <c r="M26" s="135" t="s">
        <v>5</v>
      </c>
      <c r="O26" s="244"/>
      <c r="P26" s="244"/>
      <c r="Q26" s="244"/>
      <c r="R26" s="244"/>
      <c r="S26" s="244"/>
      <c r="T26" s="244"/>
      <c r="U26" s="244"/>
      <c r="V26" s="244"/>
      <c r="W26" s="244"/>
      <c r="X26" s="244"/>
      <c r="Y26" s="244"/>
      <c r="Z26" s="244"/>
      <c r="AA26" s="244"/>
      <c r="AB26" s="244"/>
    </row>
    <row r="27" spans="1:28" ht="13.35" customHeight="1">
      <c r="A27" s="50" t="s">
        <v>5</v>
      </c>
      <c r="B27" s="141"/>
      <c r="C27" s="80"/>
      <c r="D27" s="93"/>
      <c r="E27" s="226"/>
      <c r="F27" s="89"/>
      <c r="G27" s="81"/>
      <c r="H27" s="82"/>
      <c r="I27" s="83" t="str">
        <f t="shared" si="2"/>
        <v/>
      </c>
      <c r="J27" s="361" t="str">
        <f t="shared" si="3"/>
        <v/>
      </c>
      <c r="K27" s="200">
        <v>24</v>
      </c>
      <c r="L27" s="133">
        <f t="shared" si="4"/>
        <v>0</v>
      </c>
      <c r="M27" s="135" t="s">
        <v>5</v>
      </c>
      <c r="O27" s="244"/>
      <c r="P27" s="244"/>
      <c r="Q27" s="244"/>
      <c r="R27" s="244"/>
      <c r="S27" s="244"/>
      <c r="T27" s="244"/>
      <c r="U27" s="244"/>
      <c r="V27" s="244"/>
      <c r="W27" s="244"/>
      <c r="X27" s="244"/>
      <c r="Y27" s="244"/>
      <c r="Z27" s="244"/>
      <c r="AA27" s="244"/>
      <c r="AB27" s="244"/>
    </row>
    <row r="28" spans="1:28" ht="13.35" customHeight="1">
      <c r="A28" s="50" t="s">
        <v>5</v>
      </c>
      <c r="B28" s="141"/>
      <c r="C28" s="80"/>
      <c r="D28" s="93"/>
      <c r="E28" s="226"/>
      <c r="F28" s="89"/>
      <c r="G28" s="81"/>
      <c r="H28" s="82"/>
      <c r="I28" s="83" t="str">
        <f t="shared" si="2"/>
        <v/>
      </c>
      <c r="J28" s="361" t="str">
        <f t="shared" si="3"/>
        <v/>
      </c>
      <c r="K28" s="200">
        <v>25</v>
      </c>
      <c r="L28" s="133">
        <f t="shared" si="4"/>
        <v>0</v>
      </c>
      <c r="M28" s="135" t="s">
        <v>5</v>
      </c>
      <c r="O28" s="244"/>
      <c r="P28" s="244"/>
      <c r="Q28" s="244"/>
      <c r="R28" s="244"/>
      <c r="S28" s="244"/>
      <c r="T28" s="244"/>
      <c r="U28" s="244"/>
      <c r="V28" s="244"/>
      <c r="W28" s="244"/>
      <c r="X28" s="244"/>
      <c r="Y28" s="244"/>
      <c r="Z28" s="244"/>
      <c r="AA28" s="244"/>
      <c r="AB28" s="244"/>
    </row>
    <row r="29" spans="1:28" ht="13.35" customHeight="1">
      <c r="A29" s="50" t="s">
        <v>5</v>
      </c>
      <c r="B29" s="141"/>
      <c r="C29" s="80"/>
      <c r="D29" s="93"/>
      <c r="E29" s="226"/>
      <c r="F29" s="89"/>
      <c r="G29" s="81"/>
      <c r="H29" s="82"/>
      <c r="I29" s="83" t="str">
        <f t="shared" si="2"/>
        <v/>
      </c>
      <c r="J29" s="361" t="str">
        <f t="shared" si="3"/>
        <v/>
      </c>
      <c r="K29" s="200">
        <v>26</v>
      </c>
      <c r="L29" s="133">
        <f t="shared" si="4"/>
        <v>0</v>
      </c>
      <c r="M29" s="135" t="s">
        <v>5</v>
      </c>
      <c r="O29" s="244"/>
      <c r="P29" s="244"/>
      <c r="Q29" s="244"/>
      <c r="R29" s="244"/>
      <c r="S29" s="244"/>
      <c r="T29" s="244"/>
      <c r="U29" s="244"/>
      <c r="V29" s="244"/>
      <c r="W29" s="244"/>
      <c r="X29" s="244"/>
      <c r="Y29" s="244"/>
      <c r="Z29" s="244"/>
      <c r="AA29" s="244"/>
      <c r="AB29" s="244"/>
    </row>
    <row r="30" spans="1:28" ht="13.35" customHeight="1">
      <c r="A30" s="50" t="s">
        <v>5</v>
      </c>
      <c r="B30" s="141"/>
      <c r="C30" s="80"/>
      <c r="D30" s="93"/>
      <c r="E30" s="226"/>
      <c r="F30" s="89"/>
      <c r="G30" s="81"/>
      <c r="H30" s="82"/>
      <c r="I30" s="83" t="str">
        <f t="shared" si="2"/>
        <v/>
      </c>
      <c r="J30" s="361" t="str">
        <f t="shared" si="3"/>
        <v/>
      </c>
      <c r="K30" s="200">
        <v>27</v>
      </c>
      <c r="L30" s="133">
        <f t="shared" si="4"/>
        <v>0</v>
      </c>
      <c r="M30" s="135" t="s">
        <v>5</v>
      </c>
      <c r="O30" s="244"/>
      <c r="P30" s="244"/>
      <c r="Q30" s="244"/>
      <c r="R30" s="244"/>
      <c r="S30" s="244"/>
      <c r="T30" s="244"/>
      <c r="U30" s="244"/>
      <c r="V30" s="244"/>
      <c r="W30" s="244"/>
      <c r="X30" s="244"/>
      <c r="Y30" s="244"/>
      <c r="Z30" s="244"/>
      <c r="AA30" s="244"/>
      <c r="AB30" s="244"/>
    </row>
    <row r="31" spans="1:28" ht="13.35" customHeight="1">
      <c r="A31" s="50" t="s">
        <v>5</v>
      </c>
      <c r="B31" s="141"/>
      <c r="C31" s="80"/>
      <c r="D31" s="93"/>
      <c r="E31" s="226"/>
      <c r="F31" s="89"/>
      <c r="G31" s="81"/>
      <c r="H31" s="82"/>
      <c r="I31" s="83" t="str">
        <f t="shared" si="2"/>
        <v/>
      </c>
      <c r="J31" s="361" t="str">
        <f t="shared" si="3"/>
        <v/>
      </c>
      <c r="K31" s="200">
        <v>28</v>
      </c>
      <c r="L31" s="133">
        <f t="shared" si="4"/>
        <v>0</v>
      </c>
      <c r="M31" s="135" t="s">
        <v>5</v>
      </c>
      <c r="O31" s="244"/>
      <c r="P31" s="244"/>
      <c r="Q31" s="244"/>
      <c r="R31" s="244"/>
      <c r="S31" s="244"/>
      <c r="T31" s="244"/>
      <c r="U31" s="244"/>
      <c r="V31" s="244"/>
      <c r="W31" s="244"/>
      <c r="X31" s="244"/>
      <c r="Y31" s="244"/>
      <c r="Z31" s="244"/>
      <c r="AA31" s="244"/>
      <c r="AB31" s="244"/>
    </row>
    <row r="32" spans="1:28" ht="13.35" customHeight="1">
      <c r="A32" s="50" t="s">
        <v>5</v>
      </c>
      <c r="B32" s="141"/>
      <c r="C32" s="80"/>
      <c r="D32" s="93"/>
      <c r="E32" s="226"/>
      <c r="F32" s="89"/>
      <c r="G32" s="81"/>
      <c r="H32" s="82"/>
      <c r="I32" s="83" t="str">
        <f t="shared" si="2"/>
        <v/>
      </c>
      <c r="J32" s="361" t="str">
        <f t="shared" si="3"/>
        <v/>
      </c>
      <c r="K32" s="200">
        <v>29</v>
      </c>
      <c r="L32" s="133">
        <f t="shared" si="4"/>
        <v>0</v>
      </c>
      <c r="M32" s="135" t="s">
        <v>5</v>
      </c>
      <c r="O32" s="244"/>
      <c r="P32" s="244"/>
      <c r="Q32" s="244"/>
      <c r="R32" s="244"/>
      <c r="S32" s="244"/>
      <c r="T32" s="244"/>
      <c r="U32" s="244"/>
      <c r="V32" s="244"/>
      <c r="W32" s="244"/>
      <c r="X32" s="244"/>
      <c r="Y32" s="244"/>
      <c r="Z32" s="244"/>
      <c r="AA32" s="244"/>
      <c r="AB32" s="244"/>
    </row>
    <row r="33" spans="1:28" ht="13.35" customHeight="1">
      <c r="A33" s="50" t="s">
        <v>5</v>
      </c>
      <c r="B33" s="141"/>
      <c r="C33" s="80"/>
      <c r="D33" s="93"/>
      <c r="E33" s="226"/>
      <c r="F33" s="89"/>
      <c r="G33" s="81"/>
      <c r="H33" s="82"/>
      <c r="I33" s="83" t="str">
        <f t="shared" si="2"/>
        <v/>
      </c>
      <c r="J33" s="361" t="str">
        <f t="shared" si="3"/>
        <v/>
      </c>
      <c r="K33" s="200">
        <v>30</v>
      </c>
      <c r="L33" s="133">
        <f t="shared" si="4"/>
        <v>0</v>
      </c>
      <c r="M33" s="135" t="s">
        <v>5</v>
      </c>
      <c r="O33" s="244"/>
      <c r="P33" s="244"/>
      <c r="Q33" s="244"/>
      <c r="R33" s="244"/>
      <c r="S33" s="244"/>
      <c r="T33" s="244"/>
      <c r="U33" s="244"/>
      <c r="V33" s="244"/>
      <c r="W33" s="244"/>
      <c r="X33" s="244"/>
      <c r="Y33" s="244"/>
      <c r="Z33" s="244"/>
      <c r="AA33" s="244"/>
      <c r="AB33" s="244"/>
    </row>
    <row r="34" spans="1:28" ht="13.35" customHeight="1">
      <c r="A34" s="50" t="s">
        <v>5</v>
      </c>
      <c r="B34" s="141"/>
      <c r="C34" s="80"/>
      <c r="D34" s="93"/>
      <c r="E34" s="226"/>
      <c r="F34" s="89"/>
      <c r="G34" s="81"/>
      <c r="H34" s="82"/>
      <c r="I34" s="83" t="str">
        <f t="shared" si="2"/>
        <v/>
      </c>
      <c r="J34" s="361" t="str">
        <f t="shared" si="3"/>
        <v/>
      </c>
      <c r="K34" s="200">
        <v>31</v>
      </c>
      <c r="L34" s="133">
        <f t="shared" si="4"/>
        <v>0</v>
      </c>
      <c r="M34" s="135" t="s">
        <v>5</v>
      </c>
      <c r="O34" s="244"/>
      <c r="P34" s="244"/>
      <c r="Q34" s="244"/>
      <c r="R34" s="244"/>
      <c r="S34" s="244"/>
      <c r="T34" s="244"/>
      <c r="U34" s="244"/>
      <c r="V34" s="244"/>
      <c r="W34" s="244"/>
      <c r="X34" s="244"/>
      <c r="Y34" s="244"/>
      <c r="Z34" s="244"/>
      <c r="AA34" s="244"/>
      <c r="AB34" s="244"/>
    </row>
    <row r="35" spans="1:28" ht="13.35" customHeight="1">
      <c r="A35" s="50" t="s">
        <v>5</v>
      </c>
      <c r="B35" s="141"/>
      <c r="C35" s="80"/>
      <c r="D35" s="93"/>
      <c r="E35" s="226"/>
      <c r="F35" s="89"/>
      <c r="G35" s="81"/>
      <c r="H35" s="82"/>
      <c r="I35" s="83" t="str">
        <f t="shared" si="2"/>
        <v/>
      </c>
      <c r="J35" s="361" t="str">
        <f t="shared" si="3"/>
        <v/>
      </c>
      <c r="K35" s="200">
        <v>32</v>
      </c>
      <c r="L35" s="133">
        <f t="shared" si="4"/>
        <v>0</v>
      </c>
      <c r="M35" s="135" t="s">
        <v>5</v>
      </c>
      <c r="O35" s="244"/>
      <c r="P35" s="244"/>
      <c r="Q35" s="244"/>
      <c r="R35" s="244"/>
      <c r="S35" s="244"/>
      <c r="T35" s="244"/>
      <c r="U35" s="244"/>
      <c r="V35" s="244"/>
      <c r="W35" s="244"/>
      <c r="X35" s="244"/>
      <c r="Y35" s="244"/>
      <c r="Z35" s="244"/>
      <c r="AA35" s="244"/>
      <c r="AB35" s="244"/>
    </row>
    <row r="36" spans="1:28" ht="13.35" customHeight="1">
      <c r="A36" s="50" t="s">
        <v>5</v>
      </c>
      <c r="B36" s="141"/>
      <c r="C36" s="80"/>
      <c r="D36" s="93"/>
      <c r="E36" s="226"/>
      <c r="F36" s="89"/>
      <c r="G36" s="81"/>
      <c r="H36" s="82"/>
      <c r="I36" s="83" t="str">
        <f t="shared" si="2"/>
        <v/>
      </c>
      <c r="J36" s="361" t="str">
        <f t="shared" si="3"/>
        <v/>
      </c>
      <c r="K36" s="200">
        <v>33</v>
      </c>
      <c r="L36" s="133">
        <f t="shared" si="4"/>
        <v>0</v>
      </c>
      <c r="M36" s="135" t="s">
        <v>5</v>
      </c>
      <c r="O36" s="244"/>
      <c r="P36" s="244"/>
      <c r="Q36" s="244"/>
      <c r="R36" s="244"/>
      <c r="S36" s="244"/>
      <c r="T36" s="244"/>
      <c r="U36" s="244"/>
      <c r="V36" s="244"/>
      <c r="W36" s="244"/>
      <c r="X36" s="244"/>
      <c r="Y36" s="244"/>
      <c r="Z36" s="244"/>
      <c r="AA36" s="244"/>
      <c r="AB36" s="244"/>
    </row>
    <row r="37" spans="1:28" ht="13.35" customHeight="1">
      <c r="A37" s="50" t="s">
        <v>5</v>
      </c>
      <c r="B37" s="141"/>
      <c r="C37" s="80"/>
      <c r="D37" s="93"/>
      <c r="E37" s="226"/>
      <c r="F37" s="89"/>
      <c r="G37" s="81"/>
      <c r="H37" s="82"/>
      <c r="I37" s="83" t="str">
        <f t="shared" si="2"/>
        <v/>
      </c>
      <c r="J37" s="361" t="str">
        <f t="shared" si="3"/>
        <v/>
      </c>
      <c r="K37" s="200">
        <v>34</v>
      </c>
      <c r="L37" s="133">
        <f t="shared" si="4"/>
        <v>0</v>
      </c>
      <c r="M37" s="135" t="s">
        <v>5</v>
      </c>
      <c r="O37" s="244"/>
      <c r="P37" s="244"/>
      <c r="Q37" s="244"/>
      <c r="R37" s="244"/>
      <c r="S37" s="244"/>
      <c r="T37" s="244"/>
      <c r="U37" s="244"/>
      <c r="V37" s="244"/>
      <c r="W37" s="244"/>
      <c r="X37" s="244"/>
      <c r="Y37" s="244"/>
      <c r="Z37" s="244"/>
      <c r="AA37" s="244"/>
      <c r="AB37" s="244"/>
    </row>
    <row r="38" spans="1:28" ht="13.35" customHeight="1">
      <c r="A38" s="50" t="s">
        <v>5</v>
      </c>
      <c r="B38" s="141"/>
      <c r="C38" s="80"/>
      <c r="D38" s="93"/>
      <c r="E38" s="226"/>
      <c r="F38" s="89"/>
      <c r="G38" s="81"/>
      <c r="H38" s="82"/>
      <c r="I38" s="83" t="str">
        <f t="shared" si="2"/>
        <v/>
      </c>
      <c r="J38" s="361" t="str">
        <f t="shared" si="3"/>
        <v/>
      </c>
      <c r="K38" s="200">
        <v>35</v>
      </c>
      <c r="L38" s="133">
        <f t="shared" si="4"/>
        <v>0</v>
      </c>
      <c r="M38" s="135" t="s">
        <v>5</v>
      </c>
      <c r="O38" s="244"/>
      <c r="P38" s="244"/>
      <c r="Q38" s="244"/>
      <c r="R38" s="244"/>
      <c r="S38" s="244"/>
      <c r="T38" s="244"/>
      <c r="U38" s="244"/>
      <c r="V38" s="244"/>
      <c r="W38" s="244"/>
      <c r="X38" s="244"/>
      <c r="Y38" s="244"/>
      <c r="Z38" s="244"/>
      <c r="AA38" s="244"/>
      <c r="AB38" s="244"/>
    </row>
    <row r="39" spans="1:28" ht="13.35" customHeight="1">
      <c r="A39" s="50" t="s">
        <v>5</v>
      </c>
      <c r="B39" s="141"/>
      <c r="C39" s="80"/>
      <c r="D39" s="93"/>
      <c r="E39" s="226"/>
      <c r="F39" s="89"/>
      <c r="G39" s="81"/>
      <c r="H39" s="82"/>
      <c r="I39" s="83" t="str">
        <f t="shared" si="2"/>
        <v/>
      </c>
      <c r="J39" s="361" t="str">
        <f t="shared" si="3"/>
        <v/>
      </c>
      <c r="K39" s="200">
        <v>36</v>
      </c>
      <c r="L39" s="133">
        <f t="shared" si="4"/>
        <v>0</v>
      </c>
      <c r="M39" s="135" t="s">
        <v>5</v>
      </c>
      <c r="O39" s="244"/>
      <c r="P39" s="244"/>
      <c r="Q39" s="244"/>
      <c r="R39" s="244"/>
      <c r="S39" s="244"/>
      <c r="T39" s="244"/>
      <c r="U39" s="244"/>
      <c r="V39" s="244"/>
      <c r="W39" s="244"/>
      <c r="X39" s="244"/>
      <c r="Y39" s="244"/>
      <c r="Z39" s="244"/>
      <c r="AA39" s="244"/>
      <c r="AB39" s="244"/>
    </row>
    <row r="40" spans="1:28" ht="13.35" customHeight="1">
      <c r="A40" s="50" t="s">
        <v>5</v>
      </c>
      <c r="B40" s="141"/>
      <c r="C40" s="80"/>
      <c r="D40" s="93"/>
      <c r="E40" s="226"/>
      <c r="F40" s="89"/>
      <c r="G40" s="81"/>
      <c r="H40" s="82"/>
      <c r="I40" s="83" t="str">
        <f t="shared" si="2"/>
        <v/>
      </c>
      <c r="J40" s="361" t="str">
        <f t="shared" si="3"/>
        <v/>
      </c>
      <c r="K40" s="200">
        <v>37</v>
      </c>
      <c r="L40" s="133">
        <f t="shared" si="4"/>
        <v>0</v>
      </c>
      <c r="M40" s="135" t="s">
        <v>5</v>
      </c>
      <c r="O40" s="244"/>
      <c r="P40" s="244"/>
      <c r="Q40" s="244"/>
      <c r="R40" s="244"/>
      <c r="S40" s="244"/>
      <c r="T40" s="244"/>
      <c r="U40" s="244"/>
      <c r="V40" s="244"/>
      <c r="W40" s="244"/>
      <c r="X40" s="244"/>
      <c r="Y40" s="244"/>
      <c r="Z40" s="244"/>
      <c r="AA40" s="244"/>
      <c r="AB40" s="244"/>
    </row>
    <row r="41" spans="1:28" ht="13.35" customHeight="1">
      <c r="A41" s="50" t="s">
        <v>5</v>
      </c>
      <c r="B41" s="141"/>
      <c r="C41" s="80"/>
      <c r="D41" s="93"/>
      <c r="E41" s="226"/>
      <c r="F41" s="89"/>
      <c r="G41" s="81"/>
      <c r="H41" s="82"/>
      <c r="I41" s="83" t="str">
        <f t="shared" si="2"/>
        <v/>
      </c>
      <c r="J41" s="361" t="str">
        <f t="shared" si="3"/>
        <v/>
      </c>
      <c r="K41" s="200">
        <v>38</v>
      </c>
      <c r="L41" s="133">
        <f t="shared" si="4"/>
        <v>0</v>
      </c>
      <c r="M41" s="135" t="s">
        <v>5</v>
      </c>
      <c r="O41" s="244"/>
      <c r="P41" s="244"/>
      <c r="Q41" s="244"/>
      <c r="R41" s="244"/>
      <c r="S41" s="244"/>
      <c r="T41" s="244"/>
      <c r="U41" s="244"/>
      <c r="V41" s="244"/>
      <c r="W41" s="244"/>
      <c r="X41" s="244"/>
      <c r="Y41" s="244"/>
      <c r="Z41" s="244"/>
      <c r="AA41" s="244"/>
      <c r="AB41" s="244"/>
    </row>
    <row r="42" spans="1:28" ht="13.35" customHeight="1">
      <c r="A42" s="50" t="s">
        <v>5</v>
      </c>
      <c r="B42" s="141"/>
      <c r="C42" s="80"/>
      <c r="D42" s="93"/>
      <c r="E42" s="226"/>
      <c r="F42" s="89"/>
      <c r="G42" s="81"/>
      <c r="H42" s="82"/>
      <c r="I42" s="83" t="str">
        <f t="shared" si="2"/>
        <v/>
      </c>
      <c r="J42" s="361" t="str">
        <f t="shared" si="3"/>
        <v/>
      </c>
      <c r="K42" s="200">
        <v>39</v>
      </c>
      <c r="L42" s="133">
        <f t="shared" si="4"/>
        <v>0</v>
      </c>
      <c r="M42" s="135" t="s">
        <v>5</v>
      </c>
      <c r="O42" s="244"/>
      <c r="P42" s="244"/>
      <c r="Q42" s="244"/>
      <c r="R42" s="244"/>
      <c r="S42" s="244"/>
      <c r="T42" s="244"/>
      <c r="U42" s="244"/>
      <c r="V42" s="244"/>
      <c r="W42" s="244"/>
      <c r="X42" s="244"/>
      <c r="Y42" s="244"/>
      <c r="Z42" s="244"/>
      <c r="AA42" s="244"/>
      <c r="AB42" s="244"/>
    </row>
    <row r="43" spans="1:28" ht="13.35" customHeight="1">
      <c r="A43" s="50" t="s">
        <v>5</v>
      </c>
      <c r="B43" s="141"/>
      <c r="C43" s="80"/>
      <c r="D43" s="93"/>
      <c r="E43" s="226"/>
      <c r="F43" s="89"/>
      <c r="G43" s="81"/>
      <c r="H43" s="82"/>
      <c r="I43" s="83" t="str">
        <f t="shared" si="2"/>
        <v/>
      </c>
      <c r="J43" s="361" t="str">
        <f t="shared" si="3"/>
        <v/>
      </c>
      <c r="K43" s="200">
        <v>40</v>
      </c>
      <c r="L43" s="133">
        <f t="shared" si="4"/>
        <v>0</v>
      </c>
      <c r="M43" s="135" t="s">
        <v>5</v>
      </c>
      <c r="O43" s="244"/>
      <c r="P43" s="244"/>
      <c r="Q43" s="244"/>
      <c r="R43" s="244"/>
      <c r="S43" s="244"/>
      <c r="T43" s="244"/>
      <c r="U43" s="244"/>
      <c r="V43" s="244"/>
      <c r="W43" s="244"/>
      <c r="X43" s="244"/>
      <c r="Y43" s="244"/>
      <c r="Z43" s="244"/>
      <c r="AA43" s="244"/>
      <c r="AB43" s="244"/>
    </row>
    <row r="44" spans="1:28" ht="13.35" customHeight="1">
      <c r="A44" s="50" t="s">
        <v>5</v>
      </c>
      <c r="B44" s="141"/>
      <c r="C44" s="80"/>
      <c r="D44" s="93"/>
      <c r="E44" s="226"/>
      <c r="F44" s="89"/>
      <c r="G44" s="81"/>
      <c r="H44" s="82"/>
      <c r="I44" s="83" t="str">
        <f t="shared" si="2"/>
        <v/>
      </c>
      <c r="J44" s="361" t="str">
        <f t="shared" si="3"/>
        <v/>
      </c>
      <c r="K44" s="200">
        <v>41</v>
      </c>
      <c r="L44" s="133">
        <f t="shared" si="4"/>
        <v>0</v>
      </c>
      <c r="M44" s="135" t="s">
        <v>5</v>
      </c>
      <c r="O44" s="244"/>
      <c r="P44" s="244"/>
      <c r="Q44" s="244"/>
      <c r="R44" s="244"/>
      <c r="S44" s="244"/>
      <c r="T44" s="244"/>
      <c r="U44" s="244"/>
      <c r="V44" s="244"/>
      <c r="W44" s="244"/>
      <c r="X44" s="244"/>
      <c r="Y44" s="244"/>
      <c r="Z44" s="244"/>
      <c r="AA44" s="244"/>
      <c r="AB44" s="244"/>
    </row>
    <row r="45" spans="1:28" ht="13.35" customHeight="1">
      <c r="A45" s="50" t="s">
        <v>5</v>
      </c>
      <c r="B45" s="141"/>
      <c r="C45" s="80"/>
      <c r="D45" s="93"/>
      <c r="E45" s="226"/>
      <c r="F45" s="89"/>
      <c r="G45" s="81"/>
      <c r="H45" s="82"/>
      <c r="I45" s="83" t="str">
        <f t="shared" ref="I45:I46" si="7">IF(G45&lt;&gt;"",+G45-G45/(1+H45/100),"")</f>
        <v/>
      </c>
      <c r="J45" s="361" t="str">
        <f t="shared" ref="J45:J46" si="8">IF(G45&lt;&gt;0,+G45-I45,"")</f>
        <v/>
      </c>
      <c r="K45" s="200">
        <v>44</v>
      </c>
      <c r="L45" s="133">
        <f t="shared" ref="L45:L46" si="9">IF(B45&lt;$O$2,0,IF(B45&lt;$P$2,1,IF(B45&lt;$Q$2,2,IF(B45&lt;$R$2,3,IF(B45&lt;$S$2,4,IF(B45&lt;$T$2,5,IF(B45&lt;$U$2,6,IF(B45&lt;$V$2,7,IF(B45&lt;$W$2,8,IF(B45&lt;$X$2,9,IF(B45&lt;$Y$2,10,IF(B45&lt;$Z$2,11,IF(B45&lt;=$Z$3,12,0)))))))))))))</f>
        <v>0</v>
      </c>
      <c r="M45" s="135" t="s">
        <v>5</v>
      </c>
      <c r="O45" s="244"/>
      <c r="P45" s="244"/>
      <c r="Q45" s="244"/>
      <c r="R45" s="244"/>
      <c r="S45" s="244"/>
      <c r="T45" s="244"/>
      <c r="U45" s="244"/>
      <c r="V45" s="244"/>
      <c r="W45" s="244"/>
      <c r="X45" s="244"/>
      <c r="Y45" s="244"/>
      <c r="Z45" s="244"/>
      <c r="AA45" s="244"/>
      <c r="AB45" s="244"/>
    </row>
    <row r="46" spans="1:28" ht="13.35" customHeight="1" thickBot="1">
      <c r="A46" s="50" t="s">
        <v>5</v>
      </c>
      <c r="B46" s="141"/>
      <c r="C46" s="80"/>
      <c r="D46" s="93"/>
      <c r="E46" s="226"/>
      <c r="F46" s="89"/>
      <c r="G46" s="81"/>
      <c r="H46" s="82"/>
      <c r="I46" s="83" t="str">
        <f t="shared" si="7"/>
        <v/>
      </c>
      <c r="J46" s="361" t="str">
        <f t="shared" si="8"/>
        <v/>
      </c>
      <c r="K46" s="200">
        <v>45</v>
      </c>
      <c r="L46" s="133">
        <f t="shared" si="9"/>
        <v>0</v>
      </c>
      <c r="M46" s="135" t="s">
        <v>5</v>
      </c>
      <c r="O46" s="244"/>
      <c r="P46" s="244"/>
      <c r="Q46" s="244"/>
      <c r="R46" s="244"/>
      <c r="S46" s="244"/>
      <c r="T46" s="244"/>
      <c r="U46" s="244"/>
      <c r="V46" s="244"/>
      <c r="W46" s="244"/>
      <c r="X46" s="244"/>
      <c r="Y46" s="244"/>
      <c r="Z46" s="244"/>
      <c r="AA46" s="244"/>
      <c r="AB46" s="244"/>
    </row>
    <row r="47" spans="1:28" ht="12" customHeight="1" thickTop="1" thickBot="1">
      <c r="A47" s="391" t="s">
        <v>283</v>
      </c>
      <c r="B47" s="1244" t="str">
        <f>IF($A$48=0,"^ Zeile einfügen","bis hierher ziehen!")</f>
        <v>^ Zeile einfügen</v>
      </c>
      <c r="C47" s="1244"/>
      <c r="D47" s="392" t="s">
        <v>5</v>
      </c>
      <c r="E47" s="393" t="s">
        <v>5</v>
      </c>
      <c r="F47" s="394" t="s">
        <v>5</v>
      </c>
      <c r="G47" s="394"/>
      <c r="H47" s="395"/>
      <c r="I47" s="396"/>
      <c r="J47" s="425"/>
      <c r="K47" s="201">
        <v>0</v>
      </c>
      <c r="L47" s="185" t="s">
        <v>5</v>
      </c>
      <c r="M47" s="398" t="s">
        <v>283</v>
      </c>
    </row>
    <row r="48" spans="1:28" ht="12" customHeight="1" thickTop="1" thickBot="1">
      <c r="A48" s="390">
        <f>COUNTBLANK(A3:A47)+A49</f>
        <v>0</v>
      </c>
      <c r="B48" s="193" t="str">
        <f>+EÜR!C51</f>
        <v>ü</v>
      </c>
      <c r="C48" s="194" t="s">
        <v>5</v>
      </c>
      <c r="D48" s="194" t="s">
        <v>5</v>
      </c>
      <c r="E48" s="195" t="s">
        <v>5</v>
      </c>
      <c r="F48" s="196" t="s">
        <v>5</v>
      </c>
      <c r="G48" s="197">
        <f>SUBTOTAL(9,G3:G47)</f>
        <v>0</v>
      </c>
      <c r="H48" s="1242">
        <f>SUBTOTAL(9,I3:I47)</f>
        <v>0</v>
      </c>
      <c r="I48" s="1243">
        <f>SUBTOTAL(9,I3:I47)</f>
        <v>0</v>
      </c>
      <c r="J48" s="1293">
        <f>G48-H48</f>
        <v>0</v>
      </c>
      <c r="K48" s="1294"/>
      <c r="L48" s="1295"/>
      <c r="M48" s="135" t="s">
        <v>5</v>
      </c>
    </row>
    <row r="49" spans="1:14" ht="12" customHeight="1" thickTop="1" thickBot="1">
      <c r="A49" s="390">
        <f>IF(ISERROR(J47),1,0)</f>
        <v>0</v>
      </c>
      <c r="B49" s="192">
        <f>J48-G49-E49-C49</f>
        <v>0</v>
      </c>
      <c r="C49" s="1239">
        <f>SUMIF(F4:F47,"Kreditkarte",G4:G47)</f>
        <v>0</v>
      </c>
      <c r="D49" s="1239"/>
      <c r="E49" s="1240">
        <f>SUMIF(F4:F47,"Konto",G4:G47)</f>
        <v>0</v>
      </c>
      <c r="F49" s="1240"/>
      <c r="G49" s="1241">
        <f>SUMIF(F4:F47,"Geldbeutel",G4:G47)</f>
        <v>0</v>
      </c>
      <c r="H49" s="1241"/>
      <c r="I49" s="1241"/>
      <c r="J49" s="1296"/>
      <c r="K49" s="1297"/>
      <c r="L49" s="1298"/>
      <c r="M49" s="135" t="s">
        <v>5</v>
      </c>
    </row>
    <row r="50" spans="1:14" s="15" customFormat="1" ht="5.25" customHeight="1" thickTop="1">
      <c r="A50" s="36"/>
      <c r="B50" s="2"/>
      <c r="C50" s="3"/>
      <c r="D50" s="3"/>
      <c r="E50" s="1"/>
      <c r="G50" s="16"/>
      <c r="H50" s="16"/>
      <c r="I50" s="17"/>
      <c r="J50" s="18"/>
      <c r="K50" s="18"/>
      <c r="L50" s="31"/>
      <c r="N50" s="148"/>
    </row>
    <row r="51" spans="1:14">
      <c r="A51" s="36"/>
    </row>
  </sheetData>
  <sheetProtection formatCells="0" insertRows="0" deleteRows="0" selectLockedCells="1" sort="0" autoFilter="0"/>
  <mergeCells count="15">
    <mergeCell ref="C2:I2"/>
    <mergeCell ref="J2:L2"/>
    <mergeCell ref="AA9:AB9"/>
    <mergeCell ref="O10:Z10"/>
    <mergeCell ref="O11:Z11"/>
    <mergeCell ref="AA4:AB4"/>
    <mergeCell ref="AA13:AB13"/>
    <mergeCell ref="O14:Z14"/>
    <mergeCell ref="AA14:AB14"/>
    <mergeCell ref="J48:L49"/>
    <mergeCell ref="C49:D49"/>
    <mergeCell ref="E49:F49"/>
    <mergeCell ref="G49:I49"/>
    <mergeCell ref="H48:I48"/>
    <mergeCell ref="B47:C47"/>
  </mergeCells>
  <conditionalFormatting sqref="A4:A46">
    <cfRule type="expression" dxfId="290" priority="17">
      <formula>ISERROR(J4)</formula>
    </cfRule>
    <cfRule type="cellIs" dxfId="289" priority="18" operator="equal">
      <formula>""</formula>
    </cfRule>
  </conditionalFormatting>
  <conditionalFormatting sqref="A47:C47">
    <cfRule type="expression" dxfId="288" priority="8">
      <formula>$A$48&lt;&gt;0</formula>
    </cfRule>
  </conditionalFormatting>
  <conditionalFormatting sqref="B2">
    <cfRule type="expression" dxfId="287" priority="44" stopIfTrue="1">
      <formula>$B$48="x"</formula>
    </cfRule>
  </conditionalFormatting>
  <conditionalFormatting sqref="B4:B46">
    <cfRule type="cellIs" dxfId="284" priority="31" operator="equal">
      <formula>""</formula>
    </cfRule>
  </conditionalFormatting>
  <conditionalFormatting sqref="B48">
    <cfRule type="cellIs" dxfId="283" priority="67" operator="equal">
      <formula>"y"</formula>
    </cfRule>
  </conditionalFormatting>
  <conditionalFormatting sqref="B3:J3">
    <cfRule type="expression" dxfId="282" priority="8976">
      <formula>$B$48="x"</formula>
    </cfRule>
  </conditionalFormatting>
  <conditionalFormatting sqref="B4:J46">
    <cfRule type="expression" dxfId="281" priority="27">
      <formula>$B$1="x"</formula>
    </cfRule>
  </conditionalFormatting>
  <conditionalFormatting sqref="B3:L3">
    <cfRule type="expression" dxfId="280" priority="61">
      <formula>$B$48="x"</formula>
    </cfRule>
  </conditionalFormatting>
  <conditionalFormatting sqref="C4:D46">
    <cfRule type="expression" dxfId="279" priority="34">
      <formula>AND($B4&lt;&gt;"",$C4="")</formula>
    </cfRule>
  </conditionalFormatting>
  <conditionalFormatting sqref="C49:I49">
    <cfRule type="cellIs" dxfId="278" priority="66" stopIfTrue="1" operator="lessThan">
      <formula>0</formula>
    </cfRule>
    <cfRule type="cellIs" dxfId="277" priority="64" stopIfTrue="1" operator="greaterThanOrEqual">
      <formula>0</formula>
    </cfRule>
  </conditionalFormatting>
  <conditionalFormatting sqref="D47:J47">
    <cfRule type="expression" dxfId="276" priority="10">
      <formula>$A$48&lt;&gt;0</formula>
    </cfRule>
  </conditionalFormatting>
  <conditionalFormatting sqref="H4:H46">
    <cfRule type="expression" dxfId="275" priority="30">
      <formula>AND(G4&lt;&gt;"",H4="",$I$1&lt;&gt;"x")</formula>
    </cfRule>
  </conditionalFormatting>
  <conditionalFormatting sqref="H4:I46">
    <cfRule type="expression" dxfId="274" priority="28">
      <formula>AND($I4&lt;&gt;0,$I$1&lt;&gt;"ü")</formula>
    </cfRule>
    <cfRule type="expression" dxfId="273" priority="29">
      <formula>$I$1&lt;&gt;"ü"</formula>
    </cfRule>
  </conditionalFormatting>
  <conditionalFormatting sqref="J48:L48 C49:L49 C48:H48">
    <cfRule type="expression" dxfId="271" priority="63">
      <formula>$B$48="x"</formula>
    </cfRule>
  </conditionalFormatting>
  <conditionalFormatting sqref="J48:L49">
    <cfRule type="expression" dxfId="270" priority="62">
      <formula>AND($B$48="x",$J$48&lt;&gt;0)</formula>
    </cfRule>
  </conditionalFormatting>
  <conditionalFormatting sqref="K4:L46">
    <cfRule type="expression" dxfId="269" priority="15114">
      <formula>$B$48="x"</formula>
    </cfRule>
  </conditionalFormatting>
  <conditionalFormatting sqref="M3">
    <cfRule type="cellIs" dxfId="268" priority="26" operator="equal">
      <formula>""</formula>
    </cfRule>
  </conditionalFormatting>
  <conditionalFormatting sqref="M4:M46">
    <cfRule type="expression" dxfId="267" priority="24">
      <formula>ISERROR(J4)</formula>
    </cfRule>
    <cfRule type="cellIs" dxfId="266" priority="25" operator="equal">
      <formula>""</formula>
    </cfRule>
  </conditionalFormatting>
  <conditionalFormatting sqref="M47">
    <cfRule type="expression" dxfId="265" priority="9">
      <formula>$A$48&lt;&gt;0</formula>
    </cfRule>
  </conditionalFormatting>
  <conditionalFormatting sqref="M47:M49">
    <cfRule type="cellIs" dxfId="264" priority="12" operator="equal">
      <formula>""</formula>
    </cfRule>
  </conditionalFormatting>
  <conditionalFormatting sqref="N10:AB10">
    <cfRule type="expression" dxfId="263" priority="7">
      <formula>$N$2=0</formula>
    </cfRule>
  </conditionalFormatting>
  <conditionalFormatting sqref="O11:Z11">
    <cfRule type="cellIs" dxfId="262" priority="48" operator="equal">
      <formula>"Fehler!"</formula>
    </cfRule>
  </conditionalFormatting>
  <conditionalFormatting sqref="O4:AA4">
    <cfRule type="expression" dxfId="258" priority="43">
      <formula>$N$2=0</formula>
    </cfRule>
  </conditionalFormatting>
  <conditionalFormatting sqref="O2:AB3">
    <cfRule type="expression" dxfId="256" priority="2">
      <formula>$N$2=0</formula>
    </cfRule>
  </conditionalFormatting>
  <conditionalFormatting sqref="O5:AB8 O9:AA9">
    <cfRule type="expression" dxfId="255" priority="47">
      <formula>$N$2=0</formula>
    </cfRule>
  </conditionalFormatting>
  <conditionalFormatting sqref="O11:AB14">
    <cfRule type="expression" dxfId="254" priority="1">
      <formula>$N$2=0</formula>
    </cfRule>
  </conditionalFormatting>
  <conditionalFormatting sqref="O47:AB49">
    <cfRule type="expression" dxfId="253" priority="11">
      <formula>$N$2=0</formula>
    </cfRule>
  </conditionalFormatting>
  <dataValidations count="2">
    <dataValidation type="list" allowBlank="1" showInputMessage="1" showErrorMessage="1" sqref="F4:F46" xr:uid="{CF6C4901-D0EB-45BF-8B6C-3335E80DFA4A}">
      <formula1>"Konto,Geldbeutel,Kreditkarte,x"</formula1>
    </dataValidation>
    <dataValidation type="list" allowBlank="1" showInputMessage="1" showErrorMessage="1" sqref="H4:H46" xr:uid="{9A79293A-A4ED-4AF7-87AF-FF39BCC7CE36}">
      <formula1>"19,7,0,~"</formula1>
    </dataValidation>
  </dataValidations>
  <hyperlinks>
    <hyperlink ref="J2" location="'2022 EÜR'!A1" display="Menü" xr:uid="{023F0BF1-D099-470A-9A9C-221531FC6174}"/>
    <hyperlink ref="J2:L2" location="EÜR!A1" display="EÜR" xr:uid="{31033329-EE34-4A8C-91C5-17F9CDC11F53}"/>
  </hyperlinks>
  <printOptions horizontalCentered="1"/>
  <pageMargins left="0" right="0" top="0" bottom="0.31496062992125984" header="0" footer="0"/>
  <pageSetup paperSize="9" orientation="portrait" r:id="rId1"/>
  <headerFooter>
    <oddFooter>&amp;L&amp;"Arial,Standard"&amp;8Datei: &amp;Z&amp;F/&amp;A&amp;C&amp;"Arial,Standard"&amp;8Seite &amp;P von &amp;N&amp;R&amp;"Arial,Standard"&amp;8Druck: &amp;D&amp;T Uhr</oddFooter>
  </headerFooter>
  <extLst>
    <ext xmlns:x14="http://schemas.microsoft.com/office/spreadsheetml/2009/9/main" uri="{78C0D931-6437-407d-A8EE-F0AAD7539E65}">
      <x14:conditionalFormattings>
        <x14:conditionalFormatting xmlns:xm="http://schemas.microsoft.com/office/excel/2006/main">
          <x14:cfRule type="cellIs" priority="32" operator="greaterThan" id="{2646E531-0A15-4527-A165-16D285DF3D79}">
            <xm:f>EÜR!$I$78</xm:f>
            <x14:dxf>
              <font>
                <b/>
                <i val="0"/>
                <color rgb="FFFFFF00"/>
              </font>
              <fill>
                <patternFill>
                  <bgColor rgb="FFC00000"/>
                </patternFill>
              </fill>
            </x14:dxf>
          </x14:cfRule>
          <x14:cfRule type="cellIs" priority="33" operator="lessThan" id="{584C0B23-6F09-430C-B067-F3FE7DF843D9}">
            <xm:f>EÜR!$I$77</xm:f>
            <x14:dxf>
              <font>
                <b/>
                <i val="0"/>
                <color rgb="FFFFFF00"/>
              </font>
              <fill>
                <patternFill>
                  <bgColor rgb="FFC00000"/>
                </patternFill>
              </fill>
            </x14:dxf>
          </x14:cfRule>
          <xm:sqref>B4:B46</xm:sqref>
        </x14:conditionalFormatting>
        <x14:conditionalFormatting xmlns:xm="http://schemas.microsoft.com/office/excel/2006/main">
          <x14:cfRule type="expression" priority="45" id="{6DAE0FE7-825C-4774-9DD3-E376F617F0B8}">
            <xm:f>AND(EÜR!$J$66&lt;&gt;"ü",$H$48&lt;&gt;0)</xm:f>
            <x14:dxf>
              <font>
                <b/>
                <i val="0"/>
                <color rgb="FFFFFF00"/>
              </font>
              <fill>
                <patternFill>
                  <bgColor rgb="FFFF0000"/>
                </patternFill>
              </fill>
            </x14:dxf>
          </x14:cfRule>
          <xm:sqref>H48:I48</xm:sqref>
        </x14:conditionalFormatting>
        <x14:conditionalFormatting xmlns:xm="http://schemas.microsoft.com/office/excel/2006/main">
          <x14:cfRule type="expression" priority="49" id="{8B733001-C747-4402-A77C-95CFC224A789}">
            <xm:f>AND(O13&lt;&gt;0,U!L36="!",U!L37="!")</xm:f>
            <x14:dxf>
              <font>
                <b/>
                <i val="0"/>
                <color rgb="FFFF0000"/>
              </font>
              <fill>
                <patternFill>
                  <bgColor rgb="FFFFCCCC"/>
                </patternFill>
              </fill>
            </x14:dxf>
          </x14:cfRule>
          <x14:cfRule type="expression" priority="50" id="{4C87C123-8ADB-4D84-AF2B-3CD23446959D}">
            <xm:f>U!L37&lt;&gt;"!"</xm:f>
            <x14:dxf>
              <font>
                <b/>
                <i val="0"/>
                <color rgb="FF006666"/>
              </font>
              <fill>
                <patternFill>
                  <bgColor theme="6" tint="0.39994506668294322"/>
                </patternFill>
              </fill>
            </x14:dxf>
          </x14:cfRule>
          <x14:cfRule type="expression" priority="51" id="{60C4FE7A-95B8-4FA7-B72D-6CF14F734C5E}">
            <xm:f>U!L36&lt;&gt;"!"</xm:f>
            <x14:dxf>
              <font>
                <b/>
                <i val="0"/>
                <color theme="9" tint="-0.499984740745262"/>
              </font>
              <fill>
                <patternFill>
                  <bgColor rgb="FFFFFF99"/>
                </patternFill>
              </fill>
            </x14:dxf>
          </x14:cfRule>
          <xm:sqref>O13:Z13</xm:sqref>
        </x14:conditionalFormatting>
        <x14:conditionalFormatting xmlns:xm="http://schemas.microsoft.com/office/excel/2006/main">
          <x14:cfRule type="expression" priority="3" id="{7B57B10D-F14B-4246-9D7E-DBD50F48BE87}">
            <xm:f>EÜR!$J$66="-"</xm:f>
            <x14:dxf>
              <font>
                <b/>
                <i val="0"/>
                <color theme="0"/>
              </font>
              <fill>
                <patternFill>
                  <bgColor theme="0"/>
                </patternFill>
              </fill>
              <border>
                <left/>
                <right/>
                <top/>
                <bottom/>
              </border>
            </x14:dxf>
          </x14:cfRule>
          <xm:sqref>O12:AA14</xm:sqref>
        </x14:conditionalFormatting>
      </x14:conditionalFormattings>
    </ext>
  </extLst>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83B077-7F60-4328-9627-3BCF25821076}">
  <sheetPr codeName="Tabelle40">
    <tabColor theme="9" tint="0.39997558519241921"/>
    <pageSetUpPr autoPageBreaks="0"/>
  </sheetPr>
  <dimension ref="A1:AB51"/>
  <sheetViews>
    <sheetView showGridLines="0" showRowColHeaders="0" zoomScaleNormal="100" workbookViewId="0">
      <pane ySplit="3" topLeftCell="A4" activePane="bottomLeft" state="frozen"/>
      <selection activeCell="F4" sqref="F4:F46"/>
      <selection pane="bottomLeft" activeCell="A4" sqref="A4"/>
    </sheetView>
  </sheetViews>
  <sheetFormatPr baseColWidth="10" defaultColWidth="9.77734375" defaultRowHeight="12.75"/>
  <cols>
    <col min="1" max="1" width="0.77734375" style="12" customWidth="1"/>
    <col min="2" max="2" width="7.6640625" style="30" customWidth="1"/>
    <col min="3" max="3" width="21.6640625" style="24" customWidth="1"/>
    <col min="4" max="4" width="7.6640625" style="24" customWidth="1"/>
    <col min="5" max="5" width="6.6640625" style="25" customWidth="1"/>
    <col min="6" max="6" width="9.6640625" style="26" customWidth="1"/>
    <col min="7" max="7" width="9.6640625" style="27" customWidth="1"/>
    <col min="8" max="8" width="2.6640625" style="28" customWidth="1"/>
    <col min="9" max="9" width="6.6640625" style="29" customWidth="1"/>
    <col min="10" max="10" width="9.6640625" style="27" customWidth="1"/>
    <col min="11" max="11" width="2.5546875" style="27" hidden="1" customWidth="1"/>
    <col min="12" max="12" width="1.5546875" style="32" hidden="1" customWidth="1"/>
    <col min="13" max="13" width="0.77734375" style="13" customWidth="1"/>
    <col min="14" max="14" width="1.77734375" style="147" customWidth="1"/>
    <col min="15" max="26" width="8.77734375" style="13" customWidth="1"/>
    <col min="27" max="27" width="10.33203125" style="13" customWidth="1"/>
    <col min="28" max="28" width="8.33203125" style="13" customWidth="1"/>
    <col min="29" max="16384" width="9.77734375" style="13"/>
  </cols>
  <sheetData>
    <row r="1" spans="1:28" s="37" customFormat="1" ht="3" customHeight="1" thickBot="1">
      <c r="A1" s="36"/>
      <c r="B1" s="53" t="str">
        <f>+B48</f>
        <v>ü</v>
      </c>
      <c r="C1" s="54">
        <f>+C49</f>
        <v>0</v>
      </c>
      <c r="D1" s="54"/>
      <c r="E1" s="53">
        <f>+E49</f>
        <v>0</v>
      </c>
      <c r="F1" s="53"/>
      <c r="G1" s="54">
        <f>+G49</f>
        <v>0</v>
      </c>
      <c r="H1" s="53"/>
      <c r="I1" s="338" t="s">
        <v>168</v>
      </c>
      <c r="J1" s="54">
        <f>+J48</f>
        <v>0</v>
      </c>
      <c r="K1" s="198"/>
      <c r="L1" s="56"/>
      <c r="N1" s="190"/>
    </row>
    <row r="2" spans="1:28" ht="23.1" customHeight="1" thickTop="1" thickBot="1">
      <c r="A2" s="36"/>
      <c r="B2" s="296" t="str">
        <f>+EÜR!D52</f>
        <v>A31</v>
      </c>
      <c r="C2" s="1290" t="str">
        <f>+EÜR!F52</f>
        <v>Fahrtkosten privat-Kfz</v>
      </c>
      <c r="D2" s="1291"/>
      <c r="E2" s="1291"/>
      <c r="F2" s="1291"/>
      <c r="G2" s="1291"/>
      <c r="H2" s="1291"/>
      <c r="I2" s="1292"/>
      <c r="J2" s="1227" t="s">
        <v>8</v>
      </c>
      <c r="K2" s="1228"/>
      <c r="L2" s="1229"/>
      <c r="M2" s="134"/>
      <c r="N2" s="190">
        <f>IF(OR(B48="x",N3=1),0,1)</f>
        <v>1</v>
      </c>
      <c r="O2" s="188">
        <f>+EOMONTH(EÜR!$I$3,-1)+1</f>
        <v>46023</v>
      </c>
      <c r="P2" s="188">
        <f t="shared" ref="P2:Z2" si="0">+O3+1</f>
        <v>46054</v>
      </c>
      <c r="Q2" s="188">
        <f t="shared" si="0"/>
        <v>46082</v>
      </c>
      <c r="R2" s="188">
        <f t="shared" si="0"/>
        <v>46113</v>
      </c>
      <c r="S2" s="188">
        <f t="shared" si="0"/>
        <v>46143</v>
      </c>
      <c r="T2" s="188">
        <f t="shared" si="0"/>
        <v>46174</v>
      </c>
      <c r="U2" s="188">
        <f t="shared" si="0"/>
        <v>46204</v>
      </c>
      <c r="V2" s="188">
        <f t="shared" si="0"/>
        <v>46235</v>
      </c>
      <c r="W2" s="188">
        <f t="shared" si="0"/>
        <v>46266</v>
      </c>
      <c r="X2" s="188">
        <f t="shared" si="0"/>
        <v>46296</v>
      </c>
      <c r="Y2" s="188">
        <f t="shared" si="0"/>
        <v>46327</v>
      </c>
      <c r="Z2" s="188">
        <f t="shared" si="0"/>
        <v>46357</v>
      </c>
      <c r="AA2" s="48"/>
    </row>
    <row r="3" spans="1:28" ht="14.25" customHeight="1" thickTop="1">
      <c r="A3" s="36" t="s">
        <v>5</v>
      </c>
      <c r="B3" s="58" t="s">
        <v>1</v>
      </c>
      <c r="C3" s="59" t="s">
        <v>6</v>
      </c>
      <c r="D3" s="60"/>
      <c r="E3" s="310" t="s">
        <v>7</v>
      </c>
      <c r="F3" s="61" t="s">
        <v>4</v>
      </c>
      <c r="G3" s="62" t="s">
        <v>31</v>
      </c>
      <c r="H3" s="63" t="s">
        <v>33</v>
      </c>
      <c r="I3" s="64" t="s">
        <v>32</v>
      </c>
      <c r="J3" s="275" t="s">
        <v>34</v>
      </c>
      <c r="K3" s="199">
        <v>0</v>
      </c>
      <c r="L3" s="65" t="s">
        <v>5</v>
      </c>
      <c r="M3" s="135" t="s">
        <v>5</v>
      </c>
      <c r="N3" s="222">
        <f>IF(SUBTOTAL(109,K3:K47)&lt;&gt;SUM(K3:K47),1,0)</f>
        <v>0</v>
      </c>
      <c r="O3" s="189">
        <f>EOMONTH(O2,0)</f>
        <v>46053</v>
      </c>
      <c r="P3" s="189">
        <f t="shared" ref="P3:Z3" si="1">EOMONTH(P2,0)</f>
        <v>46081</v>
      </c>
      <c r="Q3" s="189">
        <f t="shared" si="1"/>
        <v>46112</v>
      </c>
      <c r="R3" s="189">
        <f t="shared" si="1"/>
        <v>46142</v>
      </c>
      <c r="S3" s="189">
        <f t="shared" si="1"/>
        <v>46173</v>
      </c>
      <c r="T3" s="189">
        <f t="shared" si="1"/>
        <v>46203</v>
      </c>
      <c r="U3" s="189">
        <f t="shared" si="1"/>
        <v>46234</v>
      </c>
      <c r="V3" s="189">
        <f t="shared" si="1"/>
        <v>46265</v>
      </c>
      <c r="W3" s="189">
        <f t="shared" si="1"/>
        <v>46295</v>
      </c>
      <c r="X3" s="189">
        <f t="shared" si="1"/>
        <v>46326</v>
      </c>
      <c r="Y3" s="189">
        <f t="shared" si="1"/>
        <v>46356</v>
      </c>
      <c r="Z3" s="189">
        <f t="shared" si="1"/>
        <v>46387</v>
      </c>
      <c r="AB3" s="14"/>
    </row>
    <row r="4" spans="1:28" ht="13.35" customHeight="1">
      <c r="A4" s="50" t="s">
        <v>5</v>
      </c>
      <c r="B4" s="141"/>
      <c r="C4" s="80"/>
      <c r="D4" s="93"/>
      <c r="E4" s="226"/>
      <c r="F4" s="89"/>
      <c r="G4" s="81"/>
      <c r="H4" s="82"/>
      <c r="I4" s="83" t="str">
        <f t="shared" ref="I4:I22" si="2">IF(G4&lt;&gt;"",+G4-G4/(1+H4/100),"")</f>
        <v/>
      </c>
      <c r="J4" s="361" t="str">
        <f t="shared" ref="J4:J22" si="3">IF(G4&lt;&gt;0,+G4-I4,"")</f>
        <v/>
      </c>
      <c r="K4" s="200">
        <v>1</v>
      </c>
      <c r="L4" s="133">
        <f>IF(B4&lt;$O$2,0,IF(B4&lt;$P$2,1,IF(B4&lt;$Q$2,2,IF(B4&lt;$R$2,3,IF(B4&lt;$S$2,4,IF(B4&lt;$T$2,5,IF(B4&lt;$U$2,6,IF(B4&lt;$V$2,7,IF(B4&lt;$W$2,8,IF(B4&lt;$X$2,9,IF(B4&lt;$Y$2,10,IF(B4&lt;$Z$2,11,IF(B4&lt;=$Z$3,12,0)))))))))))))</f>
        <v>0</v>
      </c>
      <c r="M4" s="135" t="s">
        <v>5</v>
      </c>
      <c r="N4" s="190">
        <f>+N10+AA12+AA16</f>
        <v>0</v>
      </c>
      <c r="O4" s="251" t="s">
        <v>36</v>
      </c>
      <c r="P4" s="251" t="s">
        <v>37</v>
      </c>
      <c r="Q4" s="251" t="s">
        <v>38</v>
      </c>
      <c r="R4" s="251" t="s">
        <v>39</v>
      </c>
      <c r="S4" s="251" t="s">
        <v>40</v>
      </c>
      <c r="T4" s="251" t="s">
        <v>41</v>
      </c>
      <c r="U4" s="251" t="s">
        <v>42</v>
      </c>
      <c r="V4" s="251" t="s">
        <v>43</v>
      </c>
      <c r="W4" s="251" t="s">
        <v>44</v>
      </c>
      <c r="X4" s="251" t="s">
        <v>45</v>
      </c>
      <c r="Y4" s="251" t="s">
        <v>46</v>
      </c>
      <c r="Z4" s="251" t="s">
        <v>47</v>
      </c>
      <c r="AA4" s="1209" t="s">
        <v>255</v>
      </c>
      <c r="AB4" s="1210"/>
    </row>
    <row r="5" spans="1:28" ht="13.35" customHeight="1">
      <c r="A5" s="50" t="s">
        <v>5</v>
      </c>
      <c r="B5" s="141"/>
      <c r="C5" s="80"/>
      <c r="D5" s="93"/>
      <c r="E5" s="961"/>
      <c r="F5" s="970"/>
      <c r="G5" s="81"/>
      <c r="H5" s="82"/>
      <c r="I5" s="83" t="str">
        <f t="shared" si="2"/>
        <v/>
      </c>
      <c r="J5" s="361" t="str">
        <f t="shared" si="3"/>
        <v/>
      </c>
      <c r="K5" s="200">
        <v>2</v>
      </c>
      <c r="L5" s="133">
        <f t="shared" ref="L5:L22" si="4">IF(B5&lt;$O$2,0,IF(B5&lt;$P$2,1,IF(B5&lt;$Q$2,2,IF(B5&lt;$R$2,3,IF(B5&lt;$S$2,4,IF(B5&lt;$T$2,5,IF(B5&lt;$U$2,6,IF(B5&lt;$V$2,7,IF(B5&lt;$W$2,8,IF(B5&lt;$X$2,9,IF(B5&lt;$Y$2,10,IF(B5&lt;$Z$2,11,IF(B5&lt;=$Z$3,12,0)))))))))))))</f>
        <v>0</v>
      </c>
      <c r="M5" s="135" t="s">
        <v>5</v>
      </c>
      <c r="O5" s="252">
        <f>SUMIFS($G$3:$G$47,$L$3:$L$47,1,$F$3:$F$47,"Konto")</f>
        <v>0</v>
      </c>
      <c r="P5" s="252">
        <f>SUMIFS($G$3:$G$47,$L$3:$L$47,2,$F$3:$F$47,"Konto")</f>
        <v>0</v>
      </c>
      <c r="Q5" s="252">
        <f>SUMIFS($G$3:$G$47,$L$3:$L$47,3,$F$3:$F$47,"Konto")</f>
        <v>0</v>
      </c>
      <c r="R5" s="252">
        <f>SUMIFS($G$3:$G$47,$L$3:$L$47,4,$F$3:$F$47,"Konto")</f>
        <v>0</v>
      </c>
      <c r="S5" s="252">
        <f>SUMIFS($G$3:$G$47,$L$3:$L$47,5,$F$3:$F$47,"Konto")</f>
        <v>0</v>
      </c>
      <c r="T5" s="252">
        <f>SUMIFS($G$3:$G$47,$L$3:$L$47,6,$F$3:$F$47,"Konto")</f>
        <v>0</v>
      </c>
      <c r="U5" s="252">
        <f>SUMIFS($G$3:$G$47,$L$3:$L$47,7,$F$3:$F$47,"Konto")</f>
        <v>0</v>
      </c>
      <c r="V5" s="252">
        <f>SUMIFS($G$3:$G$47,$L$3:$L$47,8,$F$3:$F$47,"Konto")</f>
        <v>0</v>
      </c>
      <c r="W5" s="252">
        <f>SUMIFS($G$3:$G$47,$L$3:$L$47,9,$F$3:$F$47,"Konto")</f>
        <v>0</v>
      </c>
      <c r="X5" s="252">
        <f>SUMIFS($G$3:$G$47,$L$3:$L$47,10,$F$3:$F$47,"Konto")</f>
        <v>0</v>
      </c>
      <c r="Y5" s="252">
        <f>SUMIFS($G$3:$G$47,$L$3:$L$47,11,$F$3:$F$47,"Konto")</f>
        <v>0</v>
      </c>
      <c r="Z5" s="252">
        <f>SUMIFS($G$3:$G$47,$L$3:$L$47,12,$F$3:$F$47,"Konto")</f>
        <v>0</v>
      </c>
      <c r="AA5" s="253">
        <f>SUM(O5:Z5)</f>
        <v>0</v>
      </c>
      <c r="AB5" s="254" t="s">
        <v>140</v>
      </c>
    </row>
    <row r="6" spans="1:28" ht="13.35" customHeight="1">
      <c r="A6" s="50" t="s">
        <v>5</v>
      </c>
      <c r="B6" s="141"/>
      <c r="C6" s="80"/>
      <c r="D6" s="93"/>
      <c r="E6" s="226"/>
      <c r="F6" s="89"/>
      <c r="G6" s="81"/>
      <c r="H6" s="82"/>
      <c r="I6" s="83" t="str">
        <f t="shared" si="2"/>
        <v/>
      </c>
      <c r="J6" s="361" t="str">
        <f t="shared" si="3"/>
        <v/>
      </c>
      <c r="K6" s="200">
        <v>3</v>
      </c>
      <c r="L6" s="133">
        <f t="shared" si="4"/>
        <v>0</v>
      </c>
      <c r="M6" s="135" t="s">
        <v>5</v>
      </c>
      <c r="N6" s="190"/>
      <c r="O6" s="252">
        <f>SUMIFS($G$3:$G$47,$L$3:$L$47,1,$F$3:$F$47,"Kreditkarte")</f>
        <v>0</v>
      </c>
      <c r="P6" s="252">
        <f>SUMIFS($G$3:$G$47,$L$3:$L$47,2,$F$3:$F$47,"Kreditkarte")</f>
        <v>0</v>
      </c>
      <c r="Q6" s="252">
        <f>SUMIFS($G$3:$G$47,$L$3:$L$47,3,$F$3:$F$47,"Kreditkarte")</f>
        <v>0</v>
      </c>
      <c r="R6" s="252">
        <f>SUMIFS($G$3:$G$47,$L$3:$L$47,4,$F$3:$F$47,"Kreditkarte")</f>
        <v>0</v>
      </c>
      <c r="S6" s="252">
        <f>SUMIFS($G$3:$G$47,$L$3:$L$47,5,$F$3:$F$47,"Kreditkarte")</f>
        <v>0</v>
      </c>
      <c r="T6" s="252">
        <f>SUMIFS($G$3:$G$47,$L$3:$L$47,6,$F$3:$F$47,"Kreditkarte")</f>
        <v>0</v>
      </c>
      <c r="U6" s="252">
        <f>SUMIFS($G$3:$G$47,$L$3:$L$47,7,$F$3:$F$47,"Kreditkarte")</f>
        <v>0</v>
      </c>
      <c r="V6" s="252">
        <f>SUMIFS($G$3:$G$47,$L$3:$L$47,8,$F$3:$F$47,"Kreditkarte")</f>
        <v>0</v>
      </c>
      <c r="W6" s="252">
        <f>SUMIFS($G$3:$G$47,$L$3:$L$47,9,$F$3:$F$47,"Kreditkarte")</f>
        <v>0</v>
      </c>
      <c r="X6" s="252">
        <f>SUMIFS($G$3:$G$47,$L$3:$L$47,10,$F$3:$F$47,"Kreditkarte")</f>
        <v>0</v>
      </c>
      <c r="Y6" s="252">
        <f>SUMIFS($G$3:$G$47,$L$3:$L$47,11,$F$3:$F$47,"Kreditkarte")</f>
        <v>0</v>
      </c>
      <c r="Z6" s="252">
        <f>SUMIFS($G$3:$G$47,$L$3:$L$47,12,$F$3:$F$47,"Kreditkarte")</f>
        <v>0</v>
      </c>
      <c r="AA6" s="255">
        <f t="shared" ref="AA6:AA7" si="5">SUM(O6:Z6)</f>
        <v>0</v>
      </c>
      <c r="AB6" s="256" t="s">
        <v>142</v>
      </c>
    </row>
    <row r="7" spans="1:28" ht="13.35" customHeight="1">
      <c r="A7" s="50" t="s">
        <v>5</v>
      </c>
      <c r="B7" s="141"/>
      <c r="C7" s="80"/>
      <c r="D7" s="93"/>
      <c r="E7" s="226"/>
      <c r="F7" s="89"/>
      <c r="G7" s="81"/>
      <c r="H7" s="82"/>
      <c r="I7" s="83" t="str">
        <f t="shared" si="2"/>
        <v/>
      </c>
      <c r="J7" s="361" t="str">
        <f t="shared" si="3"/>
        <v/>
      </c>
      <c r="K7" s="200">
        <v>4</v>
      </c>
      <c r="L7" s="133">
        <f t="shared" si="4"/>
        <v>0</v>
      </c>
      <c r="M7" s="135" t="s">
        <v>5</v>
      </c>
      <c r="O7" s="252">
        <f>SUMIFS($G$3:$G$47,$L$3:$L$47,1,$F$3:$F$47,"Geldbeutel")</f>
        <v>0</v>
      </c>
      <c r="P7" s="252">
        <f>SUMIFS($G$3:$G$47,$L$3:$L$47,2,$F$3:$F$47,"Geldbeutel")</f>
        <v>0</v>
      </c>
      <c r="Q7" s="252">
        <f>SUMIFS($G$3:$G$47,$L$3:$L$47,3,$F$3:$F$47,"Geldbeutel")</f>
        <v>0</v>
      </c>
      <c r="R7" s="252">
        <f>SUMIFS($G$3:$G$47,$L$3:$L$47,4,$F$3:$F$47,"Geldbeutel")</f>
        <v>0</v>
      </c>
      <c r="S7" s="252">
        <f>SUMIFS($G$3:$G$47,$L$3:$L$47,5,$F$3:$F$47,"Geldbeutel")</f>
        <v>0</v>
      </c>
      <c r="T7" s="252">
        <f>SUMIFS($G$3:$G$47,$L$3:$L$47,6,$F$3:$F$47,"Geldbeutel")</f>
        <v>0</v>
      </c>
      <c r="U7" s="252">
        <f>SUMIFS($G$3:$G$47,$L$3:$L$47,7,$F$3:$F$47,"Geldbeutel")</f>
        <v>0</v>
      </c>
      <c r="V7" s="252">
        <f>SUMIFS($G$3:$G$47,$L$3:$L$47,8,$F$3:$F$47,"Geldbeutel")</f>
        <v>0</v>
      </c>
      <c r="W7" s="252">
        <f>SUMIFS($G$3:$G$47,$L$3:$L$47,9,$F$3:$F$47,"Geldbeutel")</f>
        <v>0</v>
      </c>
      <c r="X7" s="252">
        <f>SUMIFS($G$3:$G$47,$L$3:$L$47,10,$F$3:$F$47,"Geldbeutel")</f>
        <v>0</v>
      </c>
      <c r="Y7" s="252">
        <f>SUMIFS($G$3:$G$47,$L$3:$L$47,11,$F$3:$F$47,"Geldbeutel")</f>
        <v>0</v>
      </c>
      <c r="Z7" s="252">
        <f>SUMIFS($G$3:$G$47,$L$3:$L$47,12,$F$3:$F$47,"Geldbeutel")</f>
        <v>0</v>
      </c>
      <c r="AA7" s="253">
        <f t="shared" si="5"/>
        <v>0</v>
      </c>
      <c r="AB7" s="254" t="s">
        <v>139</v>
      </c>
    </row>
    <row r="8" spans="1:28" ht="13.35" customHeight="1">
      <c r="A8" s="50" t="s">
        <v>5</v>
      </c>
      <c r="B8" s="141"/>
      <c r="C8" s="80"/>
      <c r="D8" s="93"/>
      <c r="E8" s="226"/>
      <c r="F8" s="89"/>
      <c r="G8" s="81"/>
      <c r="H8" s="82"/>
      <c r="I8" s="83" t="str">
        <f t="shared" si="2"/>
        <v/>
      </c>
      <c r="J8" s="361" t="str">
        <f t="shared" si="3"/>
        <v/>
      </c>
      <c r="K8" s="200">
        <v>5</v>
      </c>
      <c r="L8" s="133">
        <f t="shared" si="4"/>
        <v>0</v>
      </c>
      <c r="M8" s="135" t="s">
        <v>5</v>
      </c>
      <c r="O8" s="252">
        <f>SUMIFS($G$3:$G$47,$L$3:$L$47,1,$F$3:$F$47,"X")</f>
        <v>0</v>
      </c>
      <c r="P8" s="252">
        <f>SUMIFS($G$3:$G$47,$L$3:$L$47,2,$F$3:$F$47,"X")</f>
        <v>0</v>
      </c>
      <c r="Q8" s="252">
        <f>SUMIFS($G$3:$G$47,$L$3:$L$47,3,$F$3:$F$47,"X")</f>
        <v>0</v>
      </c>
      <c r="R8" s="252">
        <f>SUMIFS($G$3:$G$47,$L$3:$L$47,4,$F$3:$F$47,"X")</f>
        <v>0</v>
      </c>
      <c r="S8" s="252">
        <f>SUMIFS($G$3:$G$47,$L$3:$L$47,5,$F$3:$F$47,"X")</f>
        <v>0</v>
      </c>
      <c r="T8" s="252">
        <f>SUMIFS($G$3:$G$47,$L$3:$L$47,6,$F$3:$F$47,"X")</f>
        <v>0</v>
      </c>
      <c r="U8" s="252">
        <f>SUMIFS($G$3:$G$47,$L$3:$L$47,7,$F$3:$F$47,"X")</f>
        <v>0</v>
      </c>
      <c r="V8" s="252">
        <f>SUMIFS($G$3:$G$47,$L$3:$L$47,8,$F$3:$F$47,"X")</f>
        <v>0</v>
      </c>
      <c r="W8" s="252">
        <f>SUMIFS($G$3:$G$47,$L$3:$L$47,9,$F$3:$F$47,"X")</f>
        <v>0</v>
      </c>
      <c r="X8" s="252">
        <f>SUMIFS($G$3:$G$47,$L$3:$L$47,10,$F$3:$F$47,"X")</f>
        <v>0</v>
      </c>
      <c r="Y8" s="252">
        <f>SUMIFS($G$3:$G$47,$L$3:$L$47,11,$F$3:$F$47,"X")</f>
        <v>0</v>
      </c>
      <c r="Z8" s="252">
        <f>SUMIFS($G$3:$G$47,$L$3:$L$47,12,$F$3:$F$47,"X")</f>
        <v>0</v>
      </c>
      <c r="AA8" s="255">
        <f>SUM(O8:Z8)</f>
        <v>0</v>
      </c>
      <c r="AB8" s="256" t="s">
        <v>192</v>
      </c>
    </row>
    <row r="9" spans="1:28" ht="13.35" customHeight="1">
      <c r="A9" s="50" t="s">
        <v>5</v>
      </c>
      <c r="B9" s="141"/>
      <c r="C9" s="80"/>
      <c r="D9" s="93"/>
      <c r="E9" s="226"/>
      <c r="F9" s="89"/>
      <c r="G9" s="81"/>
      <c r="H9" s="82"/>
      <c r="I9" s="83" t="str">
        <f t="shared" si="2"/>
        <v/>
      </c>
      <c r="J9" s="361" t="str">
        <f t="shared" si="3"/>
        <v/>
      </c>
      <c r="K9" s="200">
        <v>6</v>
      </c>
      <c r="L9" s="133">
        <f t="shared" si="4"/>
        <v>0</v>
      </c>
      <c r="M9" s="135" t="s">
        <v>5</v>
      </c>
      <c r="N9" s="191">
        <f>IF(OR(AND(AA14&lt;&gt;0,B48="x"),(O14+AA13)&lt;&gt;H48),1,0)</f>
        <v>0</v>
      </c>
      <c r="O9" s="257">
        <f>SUM(O5:O8)</f>
        <v>0</v>
      </c>
      <c r="P9" s="257">
        <f t="shared" ref="P9:Z9" si="6">SUM(P5:P8)</f>
        <v>0</v>
      </c>
      <c r="Q9" s="257">
        <f t="shared" si="6"/>
        <v>0</v>
      </c>
      <c r="R9" s="257">
        <f t="shared" si="6"/>
        <v>0</v>
      </c>
      <c r="S9" s="257">
        <f t="shared" si="6"/>
        <v>0</v>
      </c>
      <c r="T9" s="257">
        <f t="shared" si="6"/>
        <v>0</v>
      </c>
      <c r="U9" s="257">
        <f t="shared" si="6"/>
        <v>0</v>
      </c>
      <c r="V9" s="257">
        <f t="shared" si="6"/>
        <v>0</v>
      </c>
      <c r="W9" s="257">
        <f t="shared" si="6"/>
        <v>0</v>
      </c>
      <c r="X9" s="257">
        <f t="shared" si="6"/>
        <v>0</v>
      </c>
      <c r="Y9" s="257">
        <f t="shared" si="6"/>
        <v>0</v>
      </c>
      <c r="Z9" s="257">
        <f t="shared" si="6"/>
        <v>0</v>
      </c>
      <c r="AA9" s="1211" t="s">
        <v>197</v>
      </c>
      <c r="AB9" s="1212"/>
    </row>
    <row r="10" spans="1:28" ht="13.35" customHeight="1">
      <c r="A10" s="50" t="s">
        <v>5</v>
      </c>
      <c r="B10" s="141"/>
      <c r="C10" s="80"/>
      <c r="D10" s="93"/>
      <c r="E10" s="226"/>
      <c r="F10" s="89"/>
      <c r="G10" s="81"/>
      <c r="H10" s="82"/>
      <c r="I10" s="83" t="str">
        <f t="shared" si="2"/>
        <v/>
      </c>
      <c r="J10" s="361" t="str">
        <f t="shared" si="3"/>
        <v/>
      </c>
      <c r="K10" s="200">
        <v>7</v>
      </c>
      <c r="L10" s="133">
        <f t="shared" si="4"/>
        <v>0</v>
      </c>
      <c r="M10" s="135" t="s">
        <v>5</v>
      </c>
      <c r="N10" s="259">
        <f>IF(O10+AA10&lt;&gt;G48,1,0)</f>
        <v>0</v>
      </c>
      <c r="O10" s="1230">
        <f>SUM(O5:Z8)</f>
        <v>0</v>
      </c>
      <c r="P10" s="1231"/>
      <c r="Q10" s="1231"/>
      <c r="R10" s="1231"/>
      <c r="S10" s="1231"/>
      <c r="T10" s="1231"/>
      <c r="U10" s="1231"/>
      <c r="V10" s="1231"/>
      <c r="W10" s="1231"/>
      <c r="X10" s="1231"/>
      <c r="Y10" s="1231"/>
      <c r="Z10" s="1232"/>
      <c r="AA10" s="292">
        <f>+G48-AA7-AA6-AA5-AA8</f>
        <v>0</v>
      </c>
      <c r="AB10" s="293" t="s">
        <v>205</v>
      </c>
    </row>
    <row r="11" spans="1:28" ht="13.35" customHeight="1">
      <c r="A11" s="50" t="s">
        <v>5</v>
      </c>
      <c r="B11" s="141"/>
      <c r="C11" s="80"/>
      <c r="D11" s="93"/>
      <c r="E11" s="226"/>
      <c r="F11" s="89"/>
      <c r="G11" s="81"/>
      <c r="H11" s="82"/>
      <c r="I11" s="83" t="str">
        <f t="shared" si="2"/>
        <v/>
      </c>
      <c r="J11" s="361" t="str">
        <f t="shared" si="3"/>
        <v/>
      </c>
      <c r="K11" s="200">
        <v>8</v>
      </c>
      <c r="L11" s="133">
        <f t="shared" si="4"/>
        <v>0</v>
      </c>
      <c r="M11" s="135" t="s">
        <v>5</v>
      </c>
      <c r="O11" s="1219" t="str">
        <f>IF(N4&gt;0,"Fehler!","")</f>
        <v/>
      </c>
      <c r="P11" s="1219"/>
      <c r="Q11" s="1219"/>
      <c r="R11" s="1219"/>
      <c r="S11" s="1219"/>
      <c r="T11" s="1219"/>
      <c r="U11" s="1219"/>
      <c r="V11" s="1219"/>
      <c r="W11" s="1219"/>
      <c r="X11" s="1219"/>
      <c r="Y11" s="1219"/>
      <c r="Z11" s="1219"/>
    </row>
    <row r="12" spans="1:28" ht="13.35" customHeight="1">
      <c r="A12" s="50" t="s">
        <v>5</v>
      </c>
      <c r="B12" s="141"/>
      <c r="C12" s="80"/>
      <c r="D12" s="93"/>
      <c r="E12" s="226"/>
      <c r="F12" s="89"/>
      <c r="G12" s="81"/>
      <c r="H12" s="82"/>
      <c r="I12" s="83" t="str">
        <f t="shared" si="2"/>
        <v/>
      </c>
      <c r="J12" s="361" t="str">
        <f t="shared" si="3"/>
        <v/>
      </c>
      <c r="K12" s="200">
        <v>9</v>
      </c>
      <c r="L12" s="133">
        <f t="shared" si="4"/>
        <v>0</v>
      </c>
      <c r="M12" s="135" t="s">
        <v>5</v>
      </c>
      <c r="O12" s="203" t="s">
        <v>36</v>
      </c>
      <c r="P12" s="203" t="s">
        <v>37</v>
      </c>
      <c r="Q12" s="203" t="s">
        <v>38</v>
      </c>
      <c r="R12" s="203" t="s">
        <v>39</v>
      </c>
      <c r="S12" s="203" t="s">
        <v>40</v>
      </c>
      <c r="T12" s="203" t="s">
        <v>41</v>
      </c>
      <c r="U12" s="203" t="s">
        <v>42</v>
      </c>
      <c r="V12" s="203" t="s">
        <v>43</v>
      </c>
      <c r="W12" s="203" t="s">
        <v>44</v>
      </c>
      <c r="X12" s="203" t="s">
        <v>45</v>
      </c>
      <c r="Y12" s="203" t="s">
        <v>46</v>
      </c>
      <c r="Z12" s="203" t="s">
        <v>47</v>
      </c>
      <c r="AA12" s="221">
        <f>IF(O14+AA13&lt;&gt;H48,1,0)</f>
        <v>0</v>
      </c>
    </row>
    <row r="13" spans="1:28" ht="13.35" customHeight="1">
      <c r="A13" s="50" t="s">
        <v>5</v>
      </c>
      <c r="B13" s="141"/>
      <c r="C13" s="80"/>
      <c r="D13" s="93"/>
      <c r="E13" s="226"/>
      <c r="F13" s="89"/>
      <c r="G13" s="81"/>
      <c r="H13" s="82"/>
      <c r="I13" s="83" t="str">
        <f t="shared" si="2"/>
        <v/>
      </c>
      <c r="J13" s="361" t="str">
        <f t="shared" si="3"/>
        <v/>
      </c>
      <c r="K13" s="200">
        <v>10</v>
      </c>
      <c r="L13" s="133">
        <f t="shared" si="4"/>
        <v>0</v>
      </c>
      <c r="M13" s="135" t="s">
        <v>5</v>
      </c>
      <c r="O13" s="187">
        <f>SUMIF($L$3:$L$47,1,$I$3:$I$47)</f>
        <v>0</v>
      </c>
      <c r="P13" s="187">
        <f>SUMIF($L$3:$L$47,2,$I$3:$I$47)</f>
        <v>0</v>
      </c>
      <c r="Q13" s="187">
        <f>SUMIF($L$3:$L$47,3,$I$3:$I$47)</f>
        <v>0</v>
      </c>
      <c r="R13" s="187">
        <f>SUMIF($L$3:$L$47,4,$I$3:$I$47)</f>
        <v>0</v>
      </c>
      <c r="S13" s="187">
        <f>SUMIF($L$3:$L$47,5,$I$3:$I$47)</f>
        <v>0</v>
      </c>
      <c r="T13" s="187">
        <f>SUMIF($L$3:$L$47,6,$I$3:$I$47)</f>
        <v>0</v>
      </c>
      <c r="U13" s="187">
        <f>SUMIF($L$3:$L$47,7,$I$3:$I$47)</f>
        <v>0</v>
      </c>
      <c r="V13" s="187">
        <f>SUMIF($L$3:$L$47,8,$I$3:$I$47)</f>
        <v>0</v>
      </c>
      <c r="W13" s="187">
        <f>SUMIF($L$3:$L$47,9,$I$3:$I$47)</f>
        <v>0</v>
      </c>
      <c r="X13" s="187">
        <f>SUMIF($L$3:$L$47,10,$I$3:$I$47)</f>
        <v>0</v>
      </c>
      <c r="Y13" s="187">
        <f>SUMIF($L$3:$L$47,11,$I$3:$I$47)</f>
        <v>0</v>
      </c>
      <c r="Z13" s="187">
        <f>SUMIF($L$3:$L$47,12,$I$3:$I$47)</f>
        <v>0</v>
      </c>
      <c r="AA13" s="1220">
        <f>SUMIF($L$3:$L$47,0,$I$3:$I$47)</f>
        <v>0</v>
      </c>
      <c r="AB13" s="1221"/>
    </row>
    <row r="14" spans="1:28" ht="13.35" customHeight="1">
      <c r="A14" s="50" t="s">
        <v>5</v>
      </c>
      <c r="B14" s="141"/>
      <c r="C14" s="80"/>
      <c r="D14" s="93"/>
      <c r="E14" s="226"/>
      <c r="F14" s="89"/>
      <c r="G14" s="81"/>
      <c r="H14" s="82"/>
      <c r="I14" s="83" t="str">
        <f t="shared" si="2"/>
        <v/>
      </c>
      <c r="J14" s="361" t="str">
        <f t="shared" si="3"/>
        <v/>
      </c>
      <c r="K14" s="200">
        <v>11</v>
      </c>
      <c r="L14" s="133">
        <f t="shared" si="4"/>
        <v>0</v>
      </c>
      <c r="M14" s="135" t="s">
        <v>5</v>
      </c>
      <c r="O14" s="1299">
        <f>SUM(O13:Z13)</f>
        <v>0</v>
      </c>
      <c r="P14" s="1300"/>
      <c r="Q14" s="1300"/>
      <c r="R14" s="1300"/>
      <c r="S14" s="1300"/>
      <c r="T14" s="1300"/>
      <c r="U14" s="1300"/>
      <c r="V14" s="1300"/>
      <c r="W14" s="1300"/>
      <c r="X14" s="1300"/>
      <c r="Y14" s="1300"/>
      <c r="Z14" s="1301"/>
      <c r="AA14" s="1222">
        <f>SUM(O13:Z13)+AA13</f>
        <v>0</v>
      </c>
      <c r="AB14" s="1223"/>
    </row>
    <row r="15" spans="1:28" ht="13.35" customHeight="1">
      <c r="A15" s="50" t="s">
        <v>5</v>
      </c>
      <c r="B15" s="141"/>
      <c r="C15" s="260"/>
      <c r="D15" s="93"/>
      <c r="E15" s="226"/>
      <c r="F15" s="89"/>
      <c r="G15" s="81"/>
      <c r="H15" s="82"/>
      <c r="I15" s="83" t="str">
        <f t="shared" si="2"/>
        <v/>
      </c>
      <c r="J15" s="361" t="str">
        <f t="shared" si="3"/>
        <v/>
      </c>
      <c r="K15" s="200">
        <v>12</v>
      </c>
      <c r="L15" s="133">
        <f t="shared" si="4"/>
        <v>0</v>
      </c>
      <c r="M15" s="135" t="s">
        <v>5</v>
      </c>
      <c r="O15" s="244"/>
      <c r="P15" s="244"/>
      <c r="Q15" s="244"/>
      <c r="R15" s="244"/>
      <c r="S15" s="244"/>
      <c r="T15" s="244"/>
      <c r="U15" s="244"/>
      <c r="V15" s="244"/>
      <c r="W15" s="244"/>
      <c r="X15" s="244"/>
      <c r="Y15" s="244"/>
      <c r="Z15" s="244"/>
      <c r="AA15" s="244"/>
      <c r="AB15" s="244"/>
    </row>
    <row r="16" spans="1:28" ht="13.35" customHeight="1">
      <c r="A16" s="50" t="s">
        <v>5</v>
      </c>
      <c r="B16" s="141"/>
      <c r="C16" s="80"/>
      <c r="D16" s="93"/>
      <c r="E16" s="226"/>
      <c r="F16" s="89"/>
      <c r="G16" s="81"/>
      <c r="H16" s="82"/>
      <c r="I16" s="83" t="str">
        <f t="shared" si="2"/>
        <v/>
      </c>
      <c r="J16" s="361" t="str">
        <f t="shared" si="3"/>
        <v/>
      </c>
      <c r="K16" s="200">
        <v>13</v>
      </c>
      <c r="L16" s="133">
        <f t="shared" si="4"/>
        <v>0</v>
      </c>
      <c r="M16" s="135" t="s">
        <v>5</v>
      </c>
      <c r="O16" s="244"/>
      <c r="P16" s="244"/>
      <c r="Q16" s="244"/>
      <c r="R16" s="244"/>
      <c r="S16" s="244"/>
      <c r="T16" s="244"/>
      <c r="U16" s="244"/>
      <c r="V16" s="244"/>
      <c r="W16" s="244"/>
      <c r="X16" s="244"/>
      <c r="Y16" s="244"/>
      <c r="Z16" s="244"/>
      <c r="AA16" s="244"/>
      <c r="AB16" s="244"/>
    </row>
    <row r="17" spans="1:28" ht="13.35" customHeight="1">
      <c r="A17" s="50" t="s">
        <v>5</v>
      </c>
      <c r="B17" s="141"/>
      <c r="C17" s="80"/>
      <c r="D17" s="93"/>
      <c r="E17" s="226"/>
      <c r="F17" s="89"/>
      <c r="G17" s="81"/>
      <c r="H17" s="82"/>
      <c r="I17" s="83" t="str">
        <f t="shared" si="2"/>
        <v/>
      </c>
      <c r="J17" s="361" t="str">
        <f t="shared" si="3"/>
        <v/>
      </c>
      <c r="K17" s="200">
        <v>14</v>
      </c>
      <c r="L17" s="133">
        <f t="shared" si="4"/>
        <v>0</v>
      </c>
      <c r="M17" s="135" t="s">
        <v>5</v>
      </c>
      <c r="O17" s="244"/>
      <c r="P17" s="244"/>
      <c r="Q17" s="244"/>
      <c r="R17" s="244"/>
      <c r="S17" s="244"/>
      <c r="T17" s="244"/>
      <c r="U17" s="244"/>
      <c r="V17" s="244"/>
      <c r="W17" s="244"/>
      <c r="X17" s="244"/>
      <c r="Y17" s="244"/>
      <c r="Z17" s="244"/>
      <c r="AA17" s="244"/>
      <c r="AB17" s="244"/>
    </row>
    <row r="18" spans="1:28" ht="13.35" customHeight="1">
      <c r="A18" s="50" t="s">
        <v>5</v>
      </c>
      <c r="B18" s="141"/>
      <c r="C18" s="80"/>
      <c r="D18" s="93"/>
      <c r="E18" s="226"/>
      <c r="F18" s="89"/>
      <c r="G18" s="81"/>
      <c r="H18" s="82"/>
      <c r="I18" s="83" t="str">
        <f t="shared" si="2"/>
        <v/>
      </c>
      <c r="J18" s="361" t="str">
        <f t="shared" si="3"/>
        <v/>
      </c>
      <c r="K18" s="200">
        <v>15</v>
      </c>
      <c r="L18" s="133">
        <f t="shared" si="4"/>
        <v>0</v>
      </c>
      <c r="M18" s="135" t="s">
        <v>5</v>
      </c>
      <c r="O18" s="244"/>
      <c r="P18" s="244"/>
      <c r="Q18" s="244"/>
      <c r="R18" s="244"/>
      <c r="S18" s="244"/>
      <c r="T18" s="244"/>
      <c r="U18" s="244"/>
      <c r="V18" s="244"/>
      <c r="W18" s="244"/>
      <c r="X18" s="244"/>
      <c r="Y18" s="244"/>
      <c r="Z18" s="244"/>
      <c r="AA18" s="244"/>
      <c r="AB18" s="244"/>
    </row>
    <row r="19" spans="1:28" ht="13.35" customHeight="1">
      <c r="A19" s="50" t="s">
        <v>5</v>
      </c>
      <c r="B19" s="141"/>
      <c r="C19" s="80"/>
      <c r="D19" s="93"/>
      <c r="E19" s="226"/>
      <c r="F19" s="89"/>
      <c r="G19" s="81"/>
      <c r="H19" s="82"/>
      <c r="I19" s="83" t="str">
        <f t="shared" si="2"/>
        <v/>
      </c>
      <c r="J19" s="361" t="str">
        <f t="shared" si="3"/>
        <v/>
      </c>
      <c r="K19" s="200">
        <v>16</v>
      </c>
      <c r="L19" s="133">
        <f t="shared" si="4"/>
        <v>0</v>
      </c>
      <c r="M19" s="135" t="s">
        <v>5</v>
      </c>
      <c r="O19" s="244"/>
      <c r="P19" s="244"/>
      <c r="Q19" s="244"/>
      <c r="R19" s="244"/>
      <c r="S19" s="244"/>
      <c r="T19" s="244"/>
      <c r="U19" s="244"/>
      <c r="V19" s="244"/>
      <c r="W19" s="244"/>
      <c r="X19" s="244"/>
      <c r="Y19" s="244"/>
      <c r="Z19" s="244"/>
      <c r="AA19" s="244"/>
      <c r="AB19" s="244"/>
    </row>
    <row r="20" spans="1:28" ht="13.35" customHeight="1">
      <c r="A20" s="50" t="s">
        <v>5</v>
      </c>
      <c r="B20" s="141"/>
      <c r="C20" s="80"/>
      <c r="D20" s="93"/>
      <c r="E20" s="226"/>
      <c r="F20" s="89"/>
      <c r="G20" s="81"/>
      <c r="H20" s="82"/>
      <c r="I20" s="83" t="str">
        <f t="shared" si="2"/>
        <v/>
      </c>
      <c r="J20" s="361" t="str">
        <f t="shared" si="3"/>
        <v/>
      </c>
      <c r="K20" s="200">
        <v>17</v>
      </c>
      <c r="L20" s="133">
        <f t="shared" si="4"/>
        <v>0</v>
      </c>
      <c r="M20" s="135" t="s">
        <v>5</v>
      </c>
      <c r="O20" s="244"/>
      <c r="P20" s="244"/>
      <c r="Q20" s="244"/>
      <c r="R20" s="244"/>
      <c r="S20" s="244"/>
      <c r="T20" s="244"/>
      <c r="U20" s="244"/>
      <c r="V20" s="244"/>
      <c r="W20" s="244"/>
      <c r="X20" s="244"/>
      <c r="Y20" s="244"/>
      <c r="Z20" s="244"/>
      <c r="AA20" s="244"/>
      <c r="AB20" s="244"/>
    </row>
    <row r="21" spans="1:28" ht="13.35" customHeight="1">
      <c r="A21" s="50" t="s">
        <v>5</v>
      </c>
      <c r="B21" s="141"/>
      <c r="C21" s="80"/>
      <c r="D21" s="93"/>
      <c r="E21" s="226"/>
      <c r="F21" s="89"/>
      <c r="G21" s="81"/>
      <c r="H21" s="82"/>
      <c r="I21" s="83" t="str">
        <f t="shared" si="2"/>
        <v/>
      </c>
      <c r="J21" s="361" t="str">
        <f t="shared" si="3"/>
        <v/>
      </c>
      <c r="K21" s="200">
        <v>18</v>
      </c>
      <c r="L21" s="133">
        <f t="shared" si="4"/>
        <v>0</v>
      </c>
      <c r="M21" s="135" t="s">
        <v>5</v>
      </c>
      <c r="O21" s="244"/>
      <c r="P21" s="244"/>
      <c r="Q21" s="244"/>
      <c r="R21" s="244"/>
      <c r="S21" s="244"/>
      <c r="T21" s="244"/>
      <c r="U21" s="244"/>
      <c r="V21" s="244"/>
      <c r="W21" s="244"/>
      <c r="X21" s="244"/>
      <c r="Y21" s="244"/>
      <c r="Z21" s="244"/>
      <c r="AA21" s="244"/>
      <c r="AB21" s="244"/>
    </row>
    <row r="22" spans="1:28" ht="13.35" customHeight="1">
      <c r="A22" s="50" t="s">
        <v>5</v>
      </c>
      <c r="B22" s="141"/>
      <c r="C22" s="80"/>
      <c r="D22" s="93"/>
      <c r="E22" s="226"/>
      <c r="F22" s="89"/>
      <c r="G22" s="81"/>
      <c r="H22" s="82"/>
      <c r="I22" s="83" t="str">
        <f t="shared" si="2"/>
        <v/>
      </c>
      <c r="J22" s="361" t="str">
        <f t="shared" si="3"/>
        <v/>
      </c>
      <c r="K22" s="200">
        <v>19</v>
      </c>
      <c r="L22" s="133">
        <f t="shared" si="4"/>
        <v>0</v>
      </c>
      <c r="M22" s="135" t="s">
        <v>5</v>
      </c>
      <c r="O22" s="244"/>
      <c r="P22" s="244"/>
      <c r="Q22" s="244"/>
      <c r="R22" s="244"/>
      <c r="S22" s="244"/>
      <c r="T22" s="244"/>
      <c r="U22" s="244"/>
      <c r="V22" s="244"/>
      <c r="W22" s="244"/>
      <c r="X22" s="244"/>
      <c r="Y22" s="244"/>
      <c r="Z22" s="244"/>
      <c r="AA22" s="244"/>
      <c r="AB22" s="244"/>
    </row>
    <row r="23" spans="1:28" ht="13.35" customHeight="1">
      <c r="A23" s="50" t="s">
        <v>5</v>
      </c>
      <c r="B23" s="141"/>
      <c r="C23" s="80"/>
      <c r="D23" s="93"/>
      <c r="E23" s="226"/>
      <c r="F23" s="89"/>
      <c r="G23" s="81"/>
      <c r="H23" s="82"/>
      <c r="I23" s="83" t="str">
        <f t="shared" ref="I23:I46" si="7">IF(G23&lt;&gt;"",+G23-G23/(1+H23/100),"")</f>
        <v/>
      </c>
      <c r="J23" s="361" t="str">
        <f t="shared" ref="J23:J46" si="8">IF(G23&lt;&gt;0,+G23-I23,"")</f>
        <v/>
      </c>
      <c r="K23" s="200">
        <v>20</v>
      </c>
      <c r="L23" s="133">
        <f t="shared" ref="L23:L46" si="9">IF(B23&lt;$O$2,0,IF(B23&lt;$P$2,1,IF(B23&lt;$Q$2,2,IF(B23&lt;$R$2,3,IF(B23&lt;$S$2,4,IF(B23&lt;$T$2,5,IF(B23&lt;$U$2,6,IF(B23&lt;$V$2,7,IF(B23&lt;$W$2,8,IF(B23&lt;$X$2,9,IF(B23&lt;$Y$2,10,IF(B23&lt;$Z$2,11,IF(B23&lt;=$Z$3,12,0)))))))))))))</f>
        <v>0</v>
      </c>
      <c r="M23" s="135" t="s">
        <v>5</v>
      </c>
      <c r="O23" s="244"/>
      <c r="P23" s="244"/>
      <c r="Q23" s="244"/>
      <c r="R23" s="244"/>
      <c r="S23" s="244"/>
      <c r="T23" s="244"/>
      <c r="U23" s="244"/>
      <c r="V23" s="244"/>
      <c r="W23" s="244"/>
      <c r="X23" s="244"/>
      <c r="Y23" s="244"/>
      <c r="Z23" s="244"/>
      <c r="AA23" s="244"/>
      <c r="AB23" s="244"/>
    </row>
    <row r="24" spans="1:28" ht="13.35" customHeight="1">
      <c r="A24" s="50" t="s">
        <v>5</v>
      </c>
      <c r="B24" s="141"/>
      <c r="C24" s="80"/>
      <c r="D24" s="93"/>
      <c r="E24" s="226"/>
      <c r="F24" s="89"/>
      <c r="G24" s="81"/>
      <c r="H24" s="82"/>
      <c r="I24" s="83" t="str">
        <f t="shared" si="7"/>
        <v/>
      </c>
      <c r="J24" s="361" t="str">
        <f t="shared" si="8"/>
        <v/>
      </c>
      <c r="K24" s="200">
        <v>21</v>
      </c>
      <c r="L24" s="133">
        <f t="shared" si="9"/>
        <v>0</v>
      </c>
      <c r="M24" s="135" t="s">
        <v>5</v>
      </c>
      <c r="O24" s="244"/>
      <c r="P24" s="244"/>
      <c r="Q24" s="244"/>
      <c r="R24" s="244"/>
      <c r="S24" s="244"/>
      <c r="T24" s="244"/>
      <c r="U24" s="244"/>
      <c r="V24" s="244"/>
      <c r="W24" s="244"/>
      <c r="X24" s="244"/>
      <c r="Y24" s="244"/>
      <c r="Z24" s="244"/>
      <c r="AA24" s="244"/>
      <c r="AB24" s="244"/>
    </row>
    <row r="25" spans="1:28" ht="13.35" customHeight="1">
      <c r="A25" s="50" t="s">
        <v>5</v>
      </c>
      <c r="B25" s="141"/>
      <c r="C25" s="80"/>
      <c r="D25" s="93"/>
      <c r="E25" s="226"/>
      <c r="F25" s="89"/>
      <c r="G25" s="81"/>
      <c r="H25" s="82"/>
      <c r="I25" s="83" t="str">
        <f t="shared" si="7"/>
        <v/>
      </c>
      <c r="J25" s="361" t="str">
        <f t="shared" si="8"/>
        <v/>
      </c>
      <c r="K25" s="200">
        <v>22</v>
      </c>
      <c r="L25" s="133">
        <f t="shared" si="9"/>
        <v>0</v>
      </c>
      <c r="M25" s="135" t="s">
        <v>5</v>
      </c>
      <c r="O25" s="244"/>
      <c r="P25" s="244"/>
      <c r="Q25" s="244"/>
      <c r="R25" s="244"/>
      <c r="S25" s="244"/>
      <c r="T25" s="244"/>
      <c r="U25" s="244"/>
      <c r="V25" s="244"/>
      <c r="W25" s="244"/>
      <c r="X25" s="244"/>
      <c r="Y25" s="244"/>
      <c r="Z25" s="244"/>
      <c r="AA25" s="244"/>
      <c r="AB25" s="244"/>
    </row>
    <row r="26" spans="1:28" ht="13.35" customHeight="1">
      <c r="A26" s="50" t="s">
        <v>5</v>
      </c>
      <c r="B26" s="141"/>
      <c r="C26" s="80"/>
      <c r="D26" s="93"/>
      <c r="E26" s="226"/>
      <c r="F26" s="89"/>
      <c r="G26" s="81"/>
      <c r="H26" s="82"/>
      <c r="I26" s="83" t="str">
        <f t="shared" si="7"/>
        <v/>
      </c>
      <c r="J26" s="361" t="str">
        <f t="shared" si="8"/>
        <v/>
      </c>
      <c r="K26" s="200">
        <v>23</v>
      </c>
      <c r="L26" s="133">
        <f t="shared" si="9"/>
        <v>0</v>
      </c>
      <c r="M26" s="135" t="s">
        <v>5</v>
      </c>
      <c r="O26" s="244"/>
      <c r="P26" s="244"/>
      <c r="Q26" s="244"/>
      <c r="R26" s="244"/>
      <c r="S26" s="244"/>
      <c r="T26" s="244"/>
      <c r="U26" s="244"/>
      <c r="V26" s="244"/>
      <c r="W26" s="244"/>
      <c r="X26" s="244"/>
      <c r="Y26" s="244"/>
      <c r="Z26" s="244"/>
      <c r="AA26" s="244"/>
      <c r="AB26" s="244"/>
    </row>
    <row r="27" spans="1:28" ht="13.35" customHeight="1">
      <c r="A27" s="50" t="s">
        <v>5</v>
      </c>
      <c r="B27" s="141"/>
      <c r="C27" s="80"/>
      <c r="D27" s="93"/>
      <c r="E27" s="226"/>
      <c r="F27" s="89"/>
      <c r="G27" s="81"/>
      <c r="H27" s="82"/>
      <c r="I27" s="83" t="str">
        <f t="shared" si="7"/>
        <v/>
      </c>
      <c r="J27" s="361" t="str">
        <f t="shared" si="8"/>
        <v/>
      </c>
      <c r="K27" s="200">
        <v>24</v>
      </c>
      <c r="L27" s="133">
        <f t="shared" si="9"/>
        <v>0</v>
      </c>
      <c r="M27" s="135" t="s">
        <v>5</v>
      </c>
      <c r="O27" s="244"/>
      <c r="P27" s="244"/>
      <c r="Q27" s="244"/>
      <c r="R27" s="244"/>
      <c r="S27" s="244"/>
      <c r="T27" s="244"/>
      <c r="U27" s="244"/>
      <c r="V27" s="244"/>
      <c r="W27" s="244"/>
      <c r="X27" s="244"/>
      <c r="Y27" s="244"/>
      <c r="Z27" s="244"/>
      <c r="AA27" s="244"/>
      <c r="AB27" s="244"/>
    </row>
    <row r="28" spans="1:28" ht="13.35" customHeight="1">
      <c r="A28" s="50" t="s">
        <v>5</v>
      </c>
      <c r="B28" s="141"/>
      <c r="C28" s="80"/>
      <c r="D28" s="93"/>
      <c r="E28" s="226"/>
      <c r="F28" s="89"/>
      <c r="G28" s="81"/>
      <c r="H28" s="82"/>
      <c r="I28" s="83" t="str">
        <f t="shared" si="7"/>
        <v/>
      </c>
      <c r="J28" s="361" t="str">
        <f t="shared" si="8"/>
        <v/>
      </c>
      <c r="K28" s="200">
        <v>25</v>
      </c>
      <c r="L28" s="133">
        <f t="shared" si="9"/>
        <v>0</v>
      </c>
      <c r="M28" s="135" t="s">
        <v>5</v>
      </c>
      <c r="O28" s="244"/>
      <c r="P28" s="244"/>
      <c r="Q28" s="244"/>
      <c r="R28" s="244"/>
      <c r="S28" s="244"/>
      <c r="T28" s="244"/>
      <c r="U28" s="244"/>
      <c r="V28" s="244"/>
      <c r="W28" s="244"/>
      <c r="X28" s="244"/>
      <c r="Y28" s="244"/>
      <c r="Z28" s="244"/>
      <c r="AA28" s="244"/>
      <c r="AB28" s="244"/>
    </row>
    <row r="29" spans="1:28" ht="13.35" customHeight="1">
      <c r="A29" s="50" t="s">
        <v>5</v>
      </c>
      <c r="B29" s="141"/>
      <c r="C29" s="80"/>
      <c r="D29" s="93"/>
      <c r="E29" s="226"/>
      <c r="F29" s="89"/>
      <c r="G29" s="81"/>
      <c r="H29" s="82"/>
      <c r="I29" s="83" t="str">
        <f t="shared" si="7"/>
        <v/>
      </c>
      <c r="J29" s="361" t="str">
        <f t="shared" si="8"/>
        <v/>
      </c>
      <c r="K29" s="200">
        <v>26</v>
      </c>
      <c r="L29" s="133">
        <f t="shared" si="9"/>
        <v>0</v>
      </c>
      <c r="M29" s="135" t="s">
        <v>5</v>
      </c>
      <c r="O29" s="244"/>
      <c r="P29" s="244"/>
      <c r="Q29" s="244"/>
      <c r="R29" s="244"/>
      <c r="S29" s="244"/>
      <c r="T29" s="244"/>
      <c r="U29" s="244"/>
      <c r="V29" s="244"/>
      <c r="W29" s="244"/>
      <c r="X29" s="244"/>
      <c r="Y29" s="244"/>
      <c r="Z29" s="244"/>
      <c r="AA29" s="244"/>
      <c r="AB29" s="244"/>
    </row>
    <row r="30" spans="1:28" ht="13.35" customHeight="1">
      <c r="A30" s="50" t="s">
        <v>5</v>
      </c>
      <c r="B30" s="141"/>
      <c r="C30" s="80"/>
      <c r="D30" s="93"/>
      <c r="E30" s="226"/>
      <c r="F30" s="89"/>
      <c r="G30" s="81"/>
      <c r="H30" s="82"/>
      <c r="I30" s="83" t="str">
        <f t="shared" si="7"/>
        <v/>
      </c>
      <c r="J30" s="361" t="str">
        <f t="shared" si="8"/>
        <v/>
      </c>
      <c r="K30" s="200">
        <v>27</v>
      </c>
      <c r="L30" s="133">
        <f t="shared" si="9"/>
        <v>0</v>
      </c>
      <c r="M30" s="135" t="s">
        <v>5</v>
      </c>
      <c r="O30" s="244"/>
      <c r="P30" s="244"/>
      <c r="Q30" s="244"/>
      <c r="R30" s="244"/>
      <c r="S30" s="244"/>
      <c r="T30" s="244"/>
      <c r="U30" s="244"/>
      <c r="V30" s="244"/>
      <c r="W30" s="244"/>
      <c r="X30" s="244"/>
      <c r="Y30" s="244"/>
      <c r="Z30" s="244"/>
      <c r="AA30" s="244"/>
      <c r="AB30" s="244"/>
    </row>
    <row r="31" spans="1:28" ht="13.35" customHeight="1">
      <c r="A31" s="50" t="s">
        <v>5</v>
      </c>
      <c r="B31" s="141"/>
      <c r="C31" s="80"/>
      <c r="D31" s="93"/>
      <c r="E31" s="226"/>
      <c r="F31" s="89"/>
      <c r="G31" s="81"/>
      <c r="H31" s="82"/>
      <c r="I31" s="83" t="str">
        <f t="shared" si="7"/>
        <v/>
      </c>
      <c r="J31" s="361" t="str">
        <f t="shared" si="8"/>
        <v/>
      </c>
      <c r="K31" s="200">
        <v>28</v>
      </c>
      <c r="L31" s="133">
        <f t="shared" si="9"/>
        <v>0</v>
      </c>
      <c r="M31" s="135" t="s">
        <v>5</v>
      </c>
      <c r="O31" s="244"/>
      <c r="P31" s="244"/>
      <c r="Q31" s="244"/>
      <c r="R31" s="244"/>
      <c r="S31" s="244"/>
      <c r="T31" s="244"/>
      <c r="U31" s="244"/>
      <c r="V31" s="244"/>
      <c r="W31" s="244"/>
      <c r="X31" s="244"/>
      <c r="Y31" s="244"/>
      <c r="Z31" s="244"/>
      <c r="AA31" s="244"/>
      <c r="AB31" s="244"/>
    </row>
    <row r="32" spans="1:28" ht="13.35" customHeight="1">
      <c r="A32" s="50" t="s">
        <v>5</v>
      </c>
      <c r="B32" s="141"/>
      <c r="C32" s="80"/>
      <c r="D32" s="93"/>
      <c r="E32" s="226"/>
      <c r="F32" s="89"/>
      <c r="G32" s="81"/>
      <c r="H32" s="82"/>
      <c r="I32" s="83" t="str">
        <f t="shared" si="7"/>
        <v/>
      </c>
      <c r="J32" s="361" t="str">
        <f t="shared" si="8"/>
        <v/>
      </c>
      <c r="K32" s="200">
        <v>29</v>
      </c>
      <c r="L32" s="133">
        <f t="shared" si="9"/>
        <v>0</v>
      </c>
      <c r="M32" s="135" t="s">
        <v>5</v>
      </c>
      <c r="O32" s="244"/>
      <c r="P32" s="244"/>
      <c r="Q32" s="244"/>
      <c r="R32" s="244"/>
      <c r="S32" s="244"/>
      <c r="T32" s="244"/>
      <c r="U32" s="244"/>
      <c r="V32" s="244"/>
      <c r="W32" s="244"/>
      <c r="X32" s="244"/>
      <c r="Y32" s="244"/>
      <c r="Z32" s="244"/>
      <c r="AA32" s="244"/>
      <c r="AB32" s="244"/>
    </row>
    <row r="33" spans="1:28" ht="13.35" customHeight="1">
      <c r="A33" s="50" t="s">
        <v>5</v>
      </c>
      <c r="B33" s="141"/>
      <c r="C33" s="80"/>
      <c r="D33" s="93"/>
      <c r="E33" s="226"/>
      <c r="F33" s="89"/>
      <c r="G33" s="81"/>
      <c r="H33" s="82"/>
      <c r="I33" s="83" t="str">
        <f t="shared" si="7"/>
        <v/>
      </c>
      <c r="J33" s="361" t="str">
        <f t="shared" si="8"/>
        <v/>
      </c>
      <c r="K33" s="200">
        <v>30</v>
      </c>
      <c r="L33" s="133">
        <f t="shared" si="9"/>
        <v>0</v>
      </c>
      <c r="M33" s="135" t="s">
        <v>5</v>
      </c>
      <c r="O33" s="244"/>
      <c r="P33" s="244"/>
      <c r="Q33" s="244"/>
      <c r="R33" s="244"/>
      <c r="S33" s="244"/>
      <c r="T33" s="244"/>
      <c r="U33" s="244"/>
      <c r="V33" s="244"/>
      <c r="W33" s="244"/>
      <c r="X33" s="244"/>
      <c r="Y33" s="244"/>
      <c r="Z33" s="244"/>
      <c r="AA33" s="244"/>
      <c r="AB33" s="244"/>
    </row>
    <row r="34" spans="1:28" ht="13.35" customHeight="1">
      <c r="A34" s="50" t="s">
        <v>5</v>
      </c>
      <c r="B34" s="141"/>
      <c r="C34" s="80"/>
      <c r="D34" s="93"/>
      <c r="E34" s="226"/>
      <c r="F34" s="89"/>
      <c r="G34" s="81"/>
      <c r="H34" s="82"/>
      <c r="I34" s="83" t="str">
        <f t="shared" si="7"/>
        <v/>
      </c>
      <c r="J34" s="361" t="str">
        <f t="shared" si="8"/>
        <v/>
      </c>
      <c r="K34" s="200">
        <v>31</v>
      </c>
      <c r="L34" s="133">
        <f t="shared" si="9"/>
        <v>0</v>
      </c>
      <c r="M34" s="135" t="s">
        <v>5</v>
      </c>
      <c r="O34" s="244"/>
      <c r="P34" s="244"/>
      <c r="Q34" s="244"/>
      <c r="R34" s="244"/>
      <c r="S34" s="244"/>
      <c r="T34" s="244"/>
      <c r="U34" s="244"/>
      <c r="V34" s="244"/>
      <c r="W34" s="244"/>
      <c r="X34" s="244"/>
      <c r="Y34" s="244"/>
      <c r="Z34" s="244"/>
      <c r="AA34" s="244"/>
      <c r="AB34" s="244"/>
    </row>
    <row r="35" spans="1:28" ht="13.35" customHeight="1">
      <c r="A35" s="50" t="s">
        <v>5</v>
      </c>
      <c r="B35" s="141"/>
      <c r="C35" s="80"/>
      <c r="D35" s="93"/>
      <c r="E35" s="226"/>
      <c r="F35" s="89"/>
      <c r="G35" s="81"/>
      <c r="H35" s="82"/>
      <c r="I35" s="83" t="str">
        <f t="shared" si="7"/>
        <v/>
      </c>
      <c r="J35" s="361" t="str">
        <f t="shared" si="8"/>
        <v/>
      </c>
      <c r="K35" s="200">
        <v>32</v>
      </c>
      <c r="L35" s="133">
        <f t="shared" si="9"/>
        <v>0</v>
      </c>
      <c r="M35" s="135" t="s">
        <v>5</v>
      </c>
      <c r="O35" s="244"/>
      <c r="P35" s="244"/>
      <c r="Q35" s="244"/>
      <c r="R35" s="244"/>
      <c r="S35" s="244"/>
      <c r="T35" s="244"/>
      <c r="U35" s="244"/>
      <c r="V35" s="244"/>
      <c r="W35" s="244"/>
      <c r="X35" s="244"/>
      <c r="Y35" s="244"/>
      <c r="Z35" s="244"/>
      <c r="AA35" s="244"/>
      <c r="AB35" s="244"/>
    </row>
    <row r="36" spans="1:28" ht="13.35" customHeight="1">
      <c r="A36" s="50" t="s">
        <v>5</v>
      </c>
      <c r="B36" s="141"/>
      <c r="C36" s="80"/>
      <c r="D36" s="93"/>
      <c r="E36" s="226"/>
      <c r="F36" s="89"/>
      <c r="G36" s="81"/>
      <c r="H36" s="82"/>
      <c r="I36" s="83" t="str">
        <f t="shared" si="7"/>
        <v/>
      </c>
      <c r="J36" s="361" t="str">
        <f t="shared" si="8"/>
        <v/>
      </c>
      <c r="K36" s="200">
        <v>35</v>
      </c>
      <c r="L36" s="133">
        <f t="shared" si="9"/>
        <v>0</v>
      </c>
      <c r="M36" s="135" t="s">
        <v>5</v>
      </c>
      <c r="O36" s="244"/>
      <c r="P36" s="244"/>
      <c r="Q36" s="244"/>
      <c r="R36" s="244"/>
      <c r="S36" s="244"/>
      <c r="T36" s="244"/>
      <c r="U36" s="244"/>
      <c r="V36" s="244"/>
      <c r="W36" s="244"/>
      <c r="X36" s="244"/>
      <c r="Y36" s="244"/>
      <c r="Z36" s="244"/>
      <c r="AA36" s="244"/>
      <c r="AB36" s="244"/>
    </row>
    <row r="37" spans="1:28" ht="13.35" customHeight="1">
      <c r="A37" s="50" t="s">
        <v>5</v>
      </c>
      <c r="B37" s="141"/>
      <c r="C37" s="80"/>
      <c r="D37" s="93"/>
      <c r="E37" s="226"/>
      <c r="F37" s="89"/>
      <c r="G37" s="81"/>
      <c r="H37" s="82"/>
      <c r="I37" s="83" t="str">
        <f t="shared" si="7"/>
        <v/>
      </c>
      <c r="J37" s="361" t="str">
        <f t="shared" si="8"/>
        <v/>
      </c>
      <c r="K37" s="200">
        <v>36</v>
      </c>
      <c r="L37" s="133">
        <f t="shared" si="9"/>
        <v>0</v>
      </c>
      <c r="M37" s="135" t="s">
        <v>5</v>
      </c>
      <c r="O37" s="244"/>
      <c r="P37" s="244"/>
      <c r="Q37" s="244"/>
      <c r="R37" s="244"/>
      <c r="S37" s="244"/>
      <c r="T37" s="244"/>
      <c r="U37" s="244"/>
      <c r="V37" s="244"/>
      <c r="W37" s="244"/>
      <c r="X37" s="244"/>
      <c r="Y37" s="244"/>
      <c r="Z37" s="244"/>
      <c r="AA37" s="244"/>
      <c r="AB37" s="244"/>
    </row>
    <row r="38" spans="1:28" ht="13.35" customHeight="1">
      <c r="A38" s="50" t="s">
        <v>5</v>
      </c>
      <c r="B38" s="141"/>
      <c r="C38" s="80"/>
      <c r="D38" s="93"/>
      <c r="E38" s="226"/>
      <c r="F38" s="89"/>
      <c r="G38" s="81"/>
      <c r="H38" s="82"/>
      <c r="I38" s="83" t="str">
        <f t="shared" si="7"/>
        <v/>
      </c>
      <c r="J38" s="361" t="str">
        <f t="shared" si="8"/>
        <v/>
      </c>
      <c r="K38" s="200">
        <v>37</v>
      </c>
      <c r="L38" s="133">
        <f t="shared" si="9"/>
        <v>0</v>
      </c>
      <c r="M38" s="135" t="s">
        <v>5</v>
      </c>
      <c r="O38" s="244"/>
      <c r="P38" s="244"/>
      <c r="Q38" s="244"/>
      <c r="R38" s="244"/>
      <c r="S38" s="244"/>
      <c r="T38" s="244"/>
      <c r="U38" s="244"/>
      <c r="V38" s="244"/>
      <c r="W38" s="244"/>
      <c r="X38" s="244"/>
      <c r="Y38" s="244"/>
      <c r="Z38" s="244"/>
      <c r="AA38" s="244"/>
      <c r="AB38" s="244"/>
    </row>
    <row r="39" spans="1:28" ht="13.35" customHeight="1">
      <c r="A39" s="50" t="s">
        <v>5</v>
      </c>
      <c r="B39" s="141"/>
      <c r="C39" s="80"/>
      <c r="D39" s="93"/>
      <c r="E39" s="226"/>
      <c r="F39" s="89"/>
      <c r="G39" s="81"/>
      <c r="H39" s="82"/>
      <c r="I39" s="83" t="str">
        <f t="shared" si="7"/>
        <v/>
      </c>
      <c r="J39" s="361" t="str">
        <f t="shared" si="8"/>
        <v/>
      </c>
      <c r="K39" s="200">
        <v>38</v>
      </c>
      <c r="L39" s="133">
        <f t="shared" si="9"/>
        <v>0</v>
      </c>
      <c r="M39" s="135" t="s">
        <v>5</v>
      </c>
      <c r="O39" s="244"/>
      <c r="P39" s="244"/>
      <c r="Q39" s="244"/>
      <c r="R39" s="244"/>
      <c r="S39" s="244"/>
      <c r="T39" s="244"/>
      <c r="U39" s="244"/>
      <c r="V39" s="244"/>
      <c r="W39" s="244"/>
      <c r="X39" s="244"/>
      <c r="Y39" s="244"/>
      <c r="Z39" s="244"/>
      <c r="AA39" s="244"/>
      <c r="AB39" s="244"/>
    </row>
    <row r="40" spans="1:28" ht="13.35" customHeight="1">
      <c r="A40" s="50" t="s">
        <v>5</v>
      </c>
      <c r="B40" s="141"/>
      <c r="C40" s="80"/>
      <c r="D40" s="93"/>
      <c r="E40" s="226"/>
      <c r="F40" s="89"/>
      <c r="G40" s="81"/>
      <c r="H40" s="82"/>
      <c r="I40" s="83" t="str">
        <f t="shared" si="7"/>
        <v/>
      </c>
      <c r="J40" s="361" t="str">
        <f t="shared" si="8"/>
        <v/>
      </c>
      <c r="K40" s="200">
        <v>39</v>
      </c>
      <c r="L40" s="133">
        <f t="shared" si="9"/>
        <v>0</v>
      </c>
      <c r="M40" s="135" t="s">
        <v>5</v>
      </c>
      <c r="O40" s="244"/>
      <c r="P40" s="244"/>
      <c r="Q40" s="244"/>
      <c r="R40" s="244"/>
      <c r="S40" s="244"/>
      <c r="T40" s="244"/>
      <c r="U40" s="244"/>
      <c r="V40" s="244"/>
      <c r="W40" s="244"/>
      <c r="X40" s="244"/>
      <c r="Y40" s="244"/>
      <c r="Z40" s="244"/>
      <c r="AA40" s="244"/>
      <c r="AB40" s="244"/>
    </row>
    <row r="41" spans="1:28" ht="13.35" customHeight="1">
      <c r="A41" s="50" t="s">
        <v>5</v>
      </c>
      <c r="B41" s="141"/>
      <c r="C41" s="80"/>
      <c r="D41" s="93"/>
      <c r="E41" s="226"/>
      <c r="F41" s="89"/>
      <c r="G41" s="81"/>
      <c r="H41" s="82"/>
      <c r="I41" s="83" t="str">
        <f t="shared" si="7"/>
        <v/>
      </c>
      <c r="J41" s="361" t="str">
        <f t="shared" si="8"/>
        <v/>
      </c>
      <c r="K41" s="200">
        <v>40</v>
      </c>
      <c r="L41" s="133">
        <f t="shared" si="9"/>
        <v>0</v>
      </c>
      <c r="M41" s="135" t="s">
        <v>5</v>
      </c>
      <c r="O41" s="244"/>
      <c r="P41" s="244"/>
      <c r="Q41" s="244"/>
      <c r="R41" s="244"/>
      <c r="S41" s="244"/>
      <c r="T41" s="244"/>
      <c r="U41" s="244"/>
      <c r="V41" s="244"/>
      <c r="W41" s="244"/>
      <c r="X41" s="244"/>
      <c r="Y41" s="244"/>
      <c r="Z41" s="244"/>
      <c r="AA41" s="244"/>
      <c r="AB41" s="244"/>
    </row>
    <row r="42" spans="1:28" ht="13.35" customHeight="1">
      <c r="A42" s="50" t="s">
        <v>5</v>
      </c>
      <c r="B42" s="141"/>
      <c r="C42" s="80"/>
      <c r="D42" s="93"/>
      <c r="E42" s="226"/>
      <c r="F42" s="89"/>
      <c r="G42" s="81"/>
      <c r="H42" s="82"/>
      <c r="I42" s="83" t="str">
        <f t="shared" si="7"/>
        <v/>
      </c>
      <c r="J42" s="361" t="str">
        <f t="shared" si="8"/>
        <v/>
      </c>
      <c r="K42" s="200">
        <v>41</v>
      </c>
      <c r="L42" s="133">
        <f t="shared" si="9"/>
        <v>0</v>
      </c>
      <c r="M42" s="135" t="s">
        <v>5</v>
      </c>
      <c r="O42" s="244"/>
      <c r="P42" s="244"/>
      <c r="Q42" s="244"/>
      <c r="R42" s="244"/>
      <c r="S42" s="244"/>
      <c r="T42" s="244"/>
      <c r="U42" s="244"/>
      <c r="V42" s="244"/>
      <c r="W42" s="244"/>
      <c r="X42" s="244"/>
      <c r="Y42" s="244"/>
      <c r="Z42" s="244"/>
      <c r="AA42" s="244"/>
      <c r="AB42" s="244"/>
    </row>
    <row r="43" spans="1:28" ht="13.35" customHeight="1">
      <c r="A43" s="50" t="s">
        <v>5</v>
      </c>
      <c r="B43" s="141"/>
      <c r="C43" s="80"/>
      <c r="D43" s="93"/>
      <c r="E43" s="226"/>
      <c r="F43" s="89"/>
      <c r="G43" s="81"/>
      <c r="H43" s="82"/>
      <c r="I43" s="83" t="str">
        <f t="shared" si="7"/>
        <v/>
      </c>
      <c r="J43" s="361" t="str">
        <f t="shared" si="8"/>
        <v/>
      </c>
      <c r="K43" s="200">
        <v>42</v>
      </c>
      <c r="L43" s="133">
        <f t="shared" si="9"/>
        <v>0</v>
      </c>
      <c r="M43" s="135" t="s">
        <v>5</v>
      </c>
      <c r="O43" s="244"/>
      <c r="P43" s="244"/>
      <c r="Q43" s="244"/>
      <c r="R43" s="244"/>
      <c r="S43" s="244"/>
      <c r="T43" s="244"/>
      <c r="U43" s="244"/>
      <c r="V43" s="244"/>
      <c r="W43" s="244"/>
      <c r="X43" s="244"/>
      <c r="Y43" s="244"/>
      <c r="Z43" s="244"/>
      <c r="AA43" s="244"/>
      <c r="AB43" s="244"/>
    </row>
    <row r="44" spans="1:28" ht="13.35" customHeight="1">
      <c r="A44" s="50" t="s">
        <v>5</v>
      </c>
      <c r="B44" s="141"/>
      <c r="C44" s="80"/>
      <c r="D44" s="93"/>
      <c r="E44" s="226"/>
      <c r="F44" s="89"/>
      <c r="G44" s="81"/>
      <c r="H44" s="82"/>
      <c r="I44" s="83" t="str">
        <f t="shared" si="7"/>
        <v/>
      </c>
      <c r="J44" s="361" t="str">
        <f t="shared" si="8"/>
        <v/>
      </c>
      <c r="K44" s="200">
        <v>43</v>
      </c>
      <c r="L44" s="133">
        <f t="shared" si="9"/>
        <v>0</v>
      </c>
      <c r="M44" s="135" t="s">
        <v>5</v>
      </c>
      <c r="O44" s="244"/>
      <c r="P44" s="244"/>
      <c r="Q44" s="244"/>
      <c r="R44" s="244"/>
      <c r="S44" s="244"/>
      <c r="T44" s="244"/>
      <c r="U44" s="244"/>
      <c r="V44" s="244"/>
      <c r="W44" s="244"/>
      <c r="X44" s="244"/>
      <c r="Y44" s="244"/>
      <c r="Z44" s="244"/>
      <c r="AA44" s="244"/>
      <c r="AB44" s="244"/>
    </row>
    <row r="45" spans="1:28" ht="13.35" customHeight="1">
      <c r="A45" s="50" t="s">
        <v>5</v>
      </c>
      <c r="B45" s="141"/>
      <c r="C45" s="80"/>
      <c r="D45" s="93"/>
      <c r="E45" s="226"/>
      <c r="F45" s="89"/>
      <c r="G45" s="81"/>
      <c r="H45" s="82"/>
      <c r="I45" s="83" t="str">
        <f t="shared" si="7"/>
        <v/>
      </c>
      <c r="J45" s="361" t="str">
        <f t="shared" si="8"/>
        <v/>
      </c>
      <c r="K45" s="200">
        <v>46</v>
      </c>
      <c r="L45" s="133">
        <f t="shared" si="9"/>
        <v>0</v>
      </c>
      <c r="M45" s="135" t="s">
        <v>5</v>
      </c>
      <c r="O45" s="244"/>
      <c r="P45" s="244"/>
      <c r="Q45" s="244"/>
      <c r="R45" s="244"/>
      <c r="S45" s="244"/>
      <c r="T45" s="244"/>
      <c r="U45" s="244"/>
      <c r="V45" s="244"/>
      <c r="W45" s="244"/>
      <c r="X45" s="244"/>
      <c r="Y45" s="244"/>
      <c r="Z45" s="244"/>
      <c r="AA45" s="244"/>
      <c r="AB45" s="244"/>
    </row>
    <row r="46" spans="1:28" ht="13.35" customHeight="1" thickBot="1">
      <c r="A46" s="50" t="s">
        <v>5</v>
      </c>
      <c r="B46" s="141"/>
      <c r="C46" s="80"/>
      <c r="D46" s="93"/>
      <c r="E46" s="226"/>
      <c r="F46" s="89"/>
      <c r="G46" s="81"/>
      <c r="H46" s="82"/>
      <c r="I46" s="83" t="str">
        <f t="shared" si="7"/>
        <v/>
      </c>
      <c r="J46" s="361" t="str">
        <f t="shared" si="8"/>
        <v/>
      </c>
      <c r="K46" s="200">
        <v>47</v>
      </c>
      <c r="L46" s="133">
        <f t="shared" si="9"/>
        <v>0</v>
      </c>
      <c r="M46" s="135" t="s">
        <v>5</v>
      </c>
      <c r="O46" s="244"/>
      <c r="P46" s="244"/>
      <c r="Q46" s="244"/>
      <c r="R46" s="244"/>
      <c r="S46" s="244"/>
      <c r="T46" s="244"/>
      <c r="U46" s="244"/>
      <c r="V46" s="244"/>
      <c r="W46" s="244"/>
      <c r="X46" s="244"/>
      <c r="Y46" s="244"/>
      <c r="Z46" s="244"/>
      <c r="AA46" s="244"/>
      <c r="AB46" s="244"/>
    </row>
    <row r="47" spans="1:28" ht="12" customHeight="1" thickTop="1" thickBot="1">
      <c r="A47" s="391" t="s">
        <v>283</v>
      </c>
      <c r="B47" s="1305" t="str">
        <f>IF($A$48=0,"^ Zeile einfügen","bis hierher ziehen!")</f>
        <v>^ Zeile einfügen</v>
      </c>
      <c r="C47" s="1305"/>
      <c r="D47" s="392" t="s">
        <v>5</v>
      </c>
      <c r="E47" s="393" t="s">
        <v>5</v>
      </c>
      <c r="F47" s="394" t="s">
        <v>5</v>
      </c>
      <c r="G47" s="394"/>
      <c r="H47" s="395"/>
      <c r="I47" s="396"/>
      <c r="J47" s="425"/>
      <c r="K47" s="201">
        <v>0</v>
      </c>
      <c r="L47" s="185" t="s">
        <v>5</v>
      </c>
      <c r="M47" s="398" t="s">
        <v>283</v>
      </c>
    </row>
    <row r="48" spans="1:28" ht="12" customHeight="1" thickTop="1" thickBot="1">
      <c r="A48" s="390">
        <f>COUNTBLANK(A3:A47)+A49</f>
        <v>0</v>
      </c>
      <c r="B48" s="193" t="str">
        <f>+EÜR!C52</f>
        <v>ü</v>
      </c>
      <c r="C48" s="194" t="s">
        <v>5</v>
      </c>
      <c r="D48" s="194" t="s">
        <v>5</v>
      </c>
      <c r="E48" s="195" t="s">
        <v>5</v>
      </c>
      <c r="F48" s="196" t="s">
        <v>5</v>
      </c>
      <c r="G48" s="197">
        <f>SUBTOTAL(9,G3:G47)</f>
        <v>0</v>
      </c>
      <c r="H48" s="1242">
        <f>SUBTOTAL(9,I3:I47)</f>
        <v>0</v>
      </c>
      <c r="I48" s="1243">
        <f>SUBTOTAL(9,I3:I47)</f>
        <v>0</v>
      </c>
      <c r="J48" s="1293">
        <f>G48-H48</f>
        <v>0</v>
      </c>
      <c r="K48" s="1294"/>
      <c r="L48" s="1295"/>
      <c r="M48" s="135" t="s">
        <v>5</v>
      </c>
    </row>
    <row r="49" spans="1:14" ht="12" customHeight="1" thickTop="1" thickBot="1">
      <c r="A49" s="390">
        <f>IF(ISERROR(J47),1,0)</f>
        <v>0</v>
      </c>
      <c r="B49" s="192">
        <f>J48-G49-E49-C49</f>
        <v>0</v>
      </c>
      <c r="C49" s="1239">
        <f>SUMIF(F4:F47,"Kreditkarte",G4:G47)</f>
        <v>0</v>
      </c>
      <c r="D49" s="1239"/>
      <c r="E49" s="1240">
        <f>SUMIF(F4:F47,"Konto",G4:G47)</f>
        <v>0</v>
      </c>
      <c r="F49" s="1240"/>
      <c r="G49" s="1241">
        <f>SUMIF(F4:F47,"Geldbeutel",G4:G47)</f>
        <v>0</v>
      </c>
      <c r="H49" s="1241"/>
      <c r="I49" s="1241"/>
      <c r="J49" s="1296"/>
      <c r="K49" s="1297"/>
      <c r="L49" s="1298"/>
      <c r="M49" s="135" t="s">
        <v>5</v>
      </c>
    </row>
    <row r="50" spans="1:14" s="15" customFormat="1" ht="5.25" customHeight="1" thickTop="1">
      <c r="A50" s="36"/>
      <c r="B50" s="2"/>
      <c r="C50" s="3"/>
      <c r="D50" s="3"/>
      <c r="E50" s="1"/>
      <c r="G50" s="16"/>
      <c r="H50" s="16"/>
      <c r="I50" s="17"/>
      <c r="J50" s="18"/>
      <c r="K50" s="18"/>
      <c r="L50" s="31"/>
      <c r="N50" s="148"/>
    </row>
    <row r="51" spans="1:14">
      <c r="A51" s="36"/>
    </row>
  </sheetData>
  <sheetProtection formatCells="0" insertRows="0" deleteRows="0" selectLockedCells="1" sort="0" autoFilter="0"/>
  <mergeCells count="15">
    <mergeCell ref="C2:I2"/>
    <mergeCell ref="J2:L2"/>
    <mergeCell ref="AA9:AB9"/>
    <mergeCell ref="O10:Z10"/>
    <mergeCell ref="O11:Z11"/>
    <mergeCell ref="AA4:AB4"/>
    <mergeCell ref="C49:D49"/>
    <mergeCell ref="E49:F49"/>
    <mergeCell ref="G49:I49"/>
    <mergeCell ref="AA13:AB13"/>
    <mergeCell ref="O14:Z14"/>
    <mergeCell ref="AA14:AB14"/>
    <mergeCell ref="H48:I48"/>
    <mergeCell ref="J48:L49"/>
    <mergeCell ref="B47:C47"/>
  </mergeCells>
  <conditionalFormatting sqref="A4:A46 M4:M46">
    <cfRule type="cellIs" dxfId="252" priority="25" operator="equal">
      <formula>""</formula>
    </cfRule>
  </conditionalFormatting>
  <conditionalFormatting sqref="A4:A46">
    <cfRule type="expression" dxfId="251" priority="17">
      <formula>ISERROR(J4)</formula>
    </cfRule>
  </conditionalFormatting>
  <conditionalFormatting sqref="A47:C47">
    <cfRule type="expression" dxfId="250" priority="8">
      <formula>$A$48&lt;&gt;0</formula>
    </cfRule>
  </conditionalFormatting>
  <conditionalFormatting sqref="B2">
    <cfRule type="expression" dxfId="249" priority="44" stopIfTrue="1">
      <formula>$B$48="x"</formula>
    </cfRule>
  </conditionalFormatting>
  <conditionalFormatting sqref="B4:B46">
    <cfRule type="cellIs" dxfId="246" priority="31" operator="equal">
      <formula>""</formula>
    </cfRule>
  </conditionalFormatting>
  <conditionalFormatting sqref="B48">
    <cfRule type="cellIs" dxfId="245" priority="67" operator="equal">
      <formula>"y"</formula>
    </cfRule>
  </conditionalFormatting>
  <conditionalFormatting sqref="B3:J3">
    <cfRule type="expression" dxfId="244" priority="8866">
      <formula>$B$48="x"</formula>
    </cfRule>
  </conditionalFormatting>
  <conditionalFormatting sqref="B4:J46">
    <cfRule type="expression" dxfId="243" priority="27">
      <formula>$B$1="x"</formula>
    </cfRule>
  </conditionalFormatting>
  <conditionalFormatting sqref="B3:L3">
    <cfRule type="expression" dxfId="242" priority="61">
      <formula>$B$48="x"</formula>
    </cfRule>
  </conditionalFormatting>
  <conditionalFormatting sqref="C4:D46">
    <cfRule type="expression" dxfId="241" priority="34">
      <formula>AND($B4&lt;&gt;"",$C4="")</formula>
    </cfRule>
  </conditionalFormatting>
  <conditionalFormatting sqref="C49:I49">
    <cfRule type="cellIs" dxfId="240" priority="64" stopIfTrue="1" operator="greaterThanOrEqual">
      <formula>0</formula>
    </cfRule>
    <cfRule type="cellIs" dxfId="239" priority="66" stopIfTrue="1" operator="lessThan">
      <formula>0</formula>
    </cfRule>
  </conditionalFormatting>
  <conditionalFormatting sqref="D47:J47">
    <cfRule type="expression" dxfId="238" priority="10">
      <formula>$A$48&lt;&gt;0</formula>
    </cfRule>
  </conditionalFormatting>
  <conditionalFormatting sqref="H4:H46">
    <cfRule type="expression" dxfId="237" priority="30">
      <formula>AND(G4&lt;&gt;"",H4="",$I$1&lt;&gt;"x")</formula>
    </cfRule>
  </conditionalFormatting>
  <conditionalFormatting sqref="H4:I46">
    <cfRule type="expression" dxfId="236" priority="28">
      <formula>AND($I4&lt;&gt;0,$I$1&lt;&gt;"ü")</formula>
    </cfRule>
    <cfRule type="expression" dxfId="235" priority="29">
      <formula>$I$1&lt;&gt;"ü"</formula>
    </cfRule>
  </conditionalFormatting>
  <conditionalFormatting sqref="J48:L48 C49:L49 C48:H48">
    <cfRule type="expression" dxfId="233" priority="63">
      <formula>$B$48="x"</formula>
    </cfRule>
  </conditionalFormatting>
  <conditionalFormatting sqref="J48:L49">
    <cfRule type="expression" dxfId="232" priority="62">
      <formula>AND($B$48="x",$J$48&lt;&gt;0)</formula>
    </cfRule>
  </conditionalFormatting>
  <conditionalFormatting sqref="K4:L46">
    <cfRule type="expression" dxfId="231" priority="14985">
      <formula>$B$48="x"</formula>
    </cfRule>
  </conditionalFormatting>
  <conditionalFormatting sqref="M3">
    <cfRule type="cellIs" dxfId="230" priority="26" operator="equal">
      <formula>""</formula>
    </cfRule>
  </conditionalFormatting>
  <conditionalFormatting sqref="M4:M46">
    <cfRule type="expression" dxfId="229" priority="24">
      <formula>ISERROR(J4)</formula>
    </cfRule>
  </conditionalFormatting>
  <conditionalFormatting sqref="M47">
    <cfRule type="expression" dxfId="228" priority="9">
      <formula>$A$48&lt;&gt;0</formula>
    </cfRule>
  </conditionalFormatting>
  <conditionalFormatting sqref="M47:M49">
    <cfRule type="cellIs" dxfId="227" priority="12" operator="equal">
      <formula>""</formula>
    </cfRule>
  </conditionalFormatting>
  <conditionalFormatting sqref="N10:AB10">
    <cfRule type="expression" dxfId="226" priority="7">
      <formula>$N$2=0</formula>
    </cfRule>
  </conditionalFormatting>
  <conditionalFormatting sqref="O11:Z11">
    <cfRule type="cellIs" dxfId="225" priority="48" operator="equal">
      <formula>"Fehler!"</formula>
    </cfRule>
  </conditionalFormatting>
  <conditionalFormatting sqref="O4:AA4">
    <cfRule type="expression" dxfId="221" priority="43">
      <formula>$N$2=0</formula>
    </cfRule>
  </conditionalFormatting>
  <conditionalFormatting sqref="O2:AB3">
    <cfRule type="expression" dxfId="219" priority="2">
      <formula>$N$2=0</formula>
    </cfRule>
  </conditionalFormatting>
  <conditionalFormatting sqref="O5:AB8 O9:AA9">
    <cfRule type="expression" dxfId="218" priority="47">
      <formula>$N$2=0</formula>
    </cfRule>
  </conditionalFormatting>
  <conditionalFormatting sqref="O11:AB14">
    <cfRule type="expression" dxfId="217" priority="1">
      <formula>$N$2=0</formula>
    </cfRule>
  </conditionalFormatting>
  <conditionalFormatting sqref="O47:AB49">
    <cfRule type="expression" dxfId="216" priority="11">
      <formula>$N$2=0</formula>
    </cfRule>
  </conditionalFormatting>
  <dataValidations count="2">
    <dataValidation type="list" allowBlank="1" showInputMessage="1" showErrorMessage="1" sqref="F4:F46" xr:uid="{EF0F0B02-83AD-47D3-B71B-D0D42C858870}">
      <formula1>"Konto,Geldbeutel,Kreditkarte,x"</formula1>
    </dataValidation>
    <dataValidation type="list" allowBlank="1" showInputMessage="1" showErrorMessage="1" sqref="H4:H46" xr:uid="{9DF2B996-62A3-447E-B67F-667DC9F47ADC}">
      <formula1>"19,7,0,~"</formula1>
    </dataValidation>
  </dataValidations>
  <hyperlinks>
    <hyperlink ref="J2" location="'2022 EÜR'!A1" display="Menü" xr:uid="{E190B257-1D0D-458D-86D6-2A79CC38CC3B}"/>
    <hyperlink ref="J2:L2" location="EÜR!A1" display="EÜR" xr:uid="{A21D5F52-9D20-42A0-84E2-03FB9B6C7F1D}"/>
  </hyperlinks>
  <printOptions horizontalCentered="1"/>
  <pageMargins left="0" right="0" top="0" bottom="0.31496062992125984" header="0" footer="0"/>
  <pageSetup paperSize="9" orientation="portrait" r:id="rId1"/>
  <headerFooter>
    <oddFooter>&amp;L&amp;"Arial,Standard"&amp;8Datei: &amp;Z&amp;F/&amp;A&amp;C&amp;"Arial,Standard"&amp;8Seite &amp;P von &amp;N&amp;R&amp;"Arial,Standard"&amp;8Druck: &amp;D&amp;T Uhr</oddFooter>
  </headerFooter>
  <extLst>
    <ext xmlns:x14="http://schemas.microsoft.com/office/spreadsheetml/2009/9/main" uri="{78C0D931-6437-407d-A8EE-F0AAD7539E65}">
      <x14:conditionalFormattings>
        <x14:conditionalFormatting xmlns:xm="http://schemas.microsoft.com/office/excel/2006/main">
          <x14:cfRule type="cellIs" priority="32" operator="greaterThan" id="{BAB766FD-C8EB-4733-8BF9-D04EBF654863}">
            <xm:f>EÜR!$I$78</xm:f>
            <x14:dxf>
              <font>
                <b/>
                <i val="0"/>
                <color rgb="FFFFFF00"/>
              </font>
              <fill>
                <patternFill>
                  <bgColor rgb="FFC00000"/>
                </patternFill>
              </fill>
            </x14:dxf>
          </x14:cfRule>
          <x14:cfRule type="cellIs" priority="33" operator="lessThan" id="{41DF3909-3D45-4EB2-9C7B-724152910250}">
            <xm:f>EÜR!$I$77</xm:f>
            <x14:dxf>
              <font>
                <b/>
                <i val="0"/>
                <color rgb="FFFFFF00"/>
              </font>
              <fill>
                <patternFill>
                  <bgColor rgb="FFC00000"/>
                </patternFill>
              </fill>
            </x14:dxf>
          </x14:cfRule>
          <xm:sqref>B4:B46</xm:sqref>
        </x14:conditionalFormatting>
        <x14:conditionalFormatting xmlns:xm="http://schemas.microsoft.com/office/excel/2006/main">
          <x14:cfRule type="expression" priority="45" id="{71580B8B-9438-461B-B371-07A865ECE451}">
            <xm:f>AND(EÜR!$J$66&lt;&gt;"ü",$H$48&lt;&gt;0)</xm:f>
            <x14:dxf>
              <font>
                <b/>
                <i val="0"/>
                <color rgb="FFFFFF00"/>
              </font>
              <fill>
                <patternFill>
                  <bgColor rgb="FFFF0000"/>
                </patternFill>
              </fill>
            </x14:dxf>
          </x14:cfRule>
          <xm:sqref>H48:I48</xm:sqref>
        </x14:conditionalFormatting>
        <x14:conditionalFormatting xmlns:xm="http://schemas.microsoft.com/office/excel/2006/main">
          <x14:cfRule type="expression" priority="49" id="{EE3FE9B6-FAB2-486C-9D26-4C88AA922DB6}">
            <xm:f>AND(O13&lt;&gt;0,U!L36="!",U!L37="!")</xm:f>
            <x14:dxf>
              <font>
                <b/>
                <i val="0"/>
                <color rgb="FFFF0000"/>
              </font>
              <fill>
                <patternFill>
                  <bgColor rgb="FFFFCCCC"/>
                </patternFill>
              </fill>
            </x14:dxf>
          </x14:cfRule>
          <x14:cfRule type="expression" priority="50" id="{2CEA714C-D936-4C3B-868F-32D92EF32F23}">
            <xm:f>U!L37&lt;&gt;"!"</xm:f>
            <x14:dxf>
              <font>
                <b/>
                <i val="0"/>
                <color rgb="FF006666"/>
              </font>
              <fill>
                <patternFill>
                  <bgColor theme="6" tint="0.39994506668294322"/>
                </patternFill>
              </fill>
            </x14:dxf>
          </x14:cfRule>
          <x14:cfRule type="expression" priority="51" id="{4111C331-0A94-4DE1-B6D6-B96AD2E2C70F}">
            <xm:f>U!L36&lt;&gt;"!"</xm:f>
            <x14:dxf>
              <font>
                <b/>
                <i val="0"/>
                <color theme="9" tint="-0.499984740745262"/>
              </font>
              <fill>
                <patternFill>
                  <bgColor rgb="FFFFFF99"/>
                </patternFill>
              </fill>
            </x14:dxf>
          </x14:cfRule>
          <xm:sqref>O13:Z13</xm:sqref>
        </x14:conditionalFormatting>
        <x14:conditionalFormatting xmlns:xm="http://schemas.microsoft.com/office/excel/2006/main">
          <x14:cfRule type="expression" priority="3" id="{96169886-9E78-42CC-BBE8-0B6B2AB0B79E}">
            <xm:f>EÜR!$J$66="-"</xm:f>
            <x14:dxf>
              <font>
                <b/>
                <i val="0"/>
                <color theme="0"/>
              </font>
              <fill>
                <patternFill>
                  <bgColor theme="0"/>
                </patternFill>
              </fill>
              <border>
                <left/>
                <right/>
                <top/>
                <bottom/>
              </border>
            </x14:dxf>
          </x14:cfRule>
          <xm:sqref>O12:AA14</xm:sqref>
        </x14:conditionalFormatting>
      </x14:conditionalFormattings>
    </ext>
  </extLst>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FF8905-3660-4B6B-9E87-599AE7AFF9F2}">
  <sheetPr codeName="Tabelle41">
    <tabColor theme="8" tint="0.59999389629810485"/>
    <pageSetUpPr autoPageBreaks="0"/>
  </sheetPr>
  <dimension ref="A1:AB51"/>
  <sheetViews>
    <sheetView showGridLines="0" showRowColHeaders="0" zoomScaleNormal="100" workbookViewId="0">
      <pane ySplit="3" topLeftCell="A4" activePane="bottomLeft" state="frozen"/>
      <selection activeCell="F4" sqref="F4:F46"/>
      <selection pane="bottomLeft" activeCell="A4" sqref="A4"/>
    </sheetView>
  </sheetViews>
  <sheetFormatPr baseColWidth="10" defaultColWidth="9.77734375" defaultRowHeight="12.75"/>
  <cols>
    <col min="1" max="1" width="0.77734375" style="12" customWidth="1"/>
    <col min="2" max="2" width="7.6640625" style="30" customWidth="1"/>
    <col min="3" max="3" width="21.6640625" style="24" customWidth="1"/>
    <col min="4" max="4" width="7.6640625" style="24" customWidth="1"/>
    <col min="5" max="5" width="6.6640625" style="25" customWidth="1"/>
    <col min="6" max="6" width="9.6640625" style="26" customWidth="1"/>
    <col min="7" max="7" width="9.6640625" style="27" customWidth="1"/>
    <col min="8" max="8" width="2.6640625" style="28" customWidth="1"/>
    <col min="9" max="9" width="6.6640625" style="29" customWidth="1"/>
    <col min="10" max="10" width="9.6640625" style="27" customWidth="1"/>
    <col min="11" max="11" width="2.5546875" style="27" hidden="1" customWidth="1"/>
    <col min="12" max="12" width="1.5546875" style="32" hidden="1" customWidth="1"/>
    <col min="13" max="13" width="0.77734375" style="13" customWidth="1"/>
    <col min="14" max="14" width="1.77734375" style="147" customWidth="1"/>
    <col min="15" max="26" width="8.77734375" style="13" customWidth="1"/>
    <col min="27" max="27" width="10.33203125" style="13" customWidth="1"/>
    <col min="28" max="28" width="8.33203125" style="13" customWidth="1"/>
    <col min="29" max="16384" width="9.77734375" style="13"/>
  </cols>
  <sheetData>
    <row r="1" spans="1:28" s="37" customFormat="1" ht="3" customHeight="1" thickBot="1">
      <c r="A1" s="36"/>
      <c r="B1" s="53" t="str">
        <f>+B48</f>
        <v>ü</v>
      </c>
      <c r="C1" s="54">
        <f>+C49</f>
        <v>0</v>
      </c>
      <c r="D1" s="54"/>
      <c r="E1" s="53">
        <f>+E49</f>
        <v>0</v>
      </c>
      <c r="F1" s="53"/>
      <c r="G1" s="54">
        <f>+G49</f>
        <v>0</v>
      </c>
      <c r="H1" s="53"/>
      <c r="I1" s="338" t="str">
        <f>+EÜR!J66</f>
        <v>-</v>
      </c>
      <c r="J1" s="54">
        <f>+J48</f>
        <v>0</v>
      </c>
      <c r="K1" s="198"/>
      <c r="L1" s="56"/>
      <c r="N1" s="190"/>
    </row>
    <row r="2" spans="1:28" ht="23.1" customHeight="1" thickTop="1" thickBot="1">
      <c r="A2" s="36"/>
      <c r="B2" s="297" t="str">
        <f>+EÜR!D56</f>
        <v>K</v>
      </c>
      <c r="C2" s="1316" t="s">
        <v>173</v>
      </c>
      <c r="D2" s="1317"/>
      <c r="E2" s="1317"/>
      <c r="F2" s="1317"/>
      <c r="G2" s="1317"/>
      <c r="H2" s="1317"/>
      <c r="I2" s="1318"/>
      <c r="J2" s="1227" t="s">
        <v>8</v>
      </c>
      <c r="K2" s="1228"/>
      <c r="L2" s="1229"/>
      <c r="M2" s="134"/>
      <c r="N2" s="190">
        <f>IF(OR(B48="x",N3=1),0,1)</f>
        <v>1</v>
      </c>
      <c r="O2" s="188">
        <f>+EOMONTH(EÜR!$I$3,-1)+1</f>
        <v>46023</v>
      </c>
      <c r="P2" s="188">
        <f t="shared" ref="P2:Z2" si="0">+O3+1</f>
        <v>46054</v>
      </c>
      <c r="Q2" s="188">
        <f t="shared" si="0"/>
        <v>46082</v>
      </c>
      <c r="R2" s="188">
        <f t="shared" si="0"/>
        <v>46113</v>
      </c>
      <c r="S2" s="188">
        <f t="shared" si="0"/>
        <v>46143</v>
      </c>
      <c r="T2" s="188">
        <f t="shared" si="0"/>
        <v>46174</v>
      </c>
      <c r="U2" s="188">
        <f t="shared" si="0"/>
        <v>46204</v>
      </c>
      <c r="V2" s="188">
        <f t="shared" si="0"/>
        <v>46235</v>
      </c>
      <c r="W2" s="188">
        <f t="shared" si="0"/>
        <v>46266</v>
      </c>
      <c r="X2" s="188">
        <f t="shared" si="0"/>
        <v>46296</v>
      </c>
      <c r="Y2" s="188">
        <f t="shared" si="0"/>
        <v>46327</v>
      </c>
      <c r="Z2" s="188">
        <f t="shared" si="0"/>
        <v>46357</v>
      </c>
      <c r="AA2" s="48"/>
    </row>
    <row r="3" spans="1:28" ht="14.25" customHeight="1" thickTop="1">
      <c r="A3" s="36" t="s">
        <v>5</v>
      </c>
      <c r="B3" s="58" t="s">
        <v>1</v>
      </c>
      <c r="C3" s="59" t="s">
        <v>6</v>
      </c>
      <c r="D3" s="60"/>
      <c r="E3" s="310" t="s">
        <v>7</v>
      </c>
      <c r="F3" s="61" t="s">
        <v>4</v>
      </c>
      <c r="G3" s="62" t="s">
        <v>31</v>
      </c>
      <c r="H3" s="63" t="s">
        <v>33</v>
      </c>
      <c r="I3" s="64" t="s">
        <v>32</v>
      </c>
      <c r="J3" s="276" t="s">
        <v>13</v>
      </c>
      <c r="K3" s="199">
        <v>0</v>
      </c>
      <c r="L3" s="65" t="s">
        <v>5</v>
      </c>
      <c r="M3" s="135" t="s">
        <v>5</v>
      </c>
      <c r="N3" s="222">
        <f>IF(SUBTOTAL(109,K3:K47)&lt;&gt;SUM(K3:K47),1,0)</f>
        <v>0</v>
      </c>
      <c r="O3" s="189">
        <f>EOMONTH(O2,0)</f>
        <v>46053</v>
      </c>
      <c r="P3" s="189">
        <f t="shared" ref="P3:Z3" si="1">EOMONTH(P2,0)</f>
        <v>46081</v>
      </c>
      <c r="Q3" s="189">
        <f t="shared" si="1"/>
        <v>46112</v>
      </c>
      <c r="R3" s="189">
        <f t="shared" si="1"/>
        <v>46142</v>
      </c>
      <c r="S3" s="189">
        <f t="shared" si="1"/>
        <v>46173</v>
      </c>
      <c r="T3" s="189">
        <f t="shared" si="1"/>
        <v>46203</v>
      </c>
      <c r="U3" s="189">
        <f t="shared" si="1"/>
        <v>46234</v>
      </c>
      <c r="V3" s="189">
        <f t="shared" si="1"/>
        <v>46265</v>
      </c>
      <c r="W3" s="189">
        <f t="shared" si="1"/>
        <v>46295</v>
      </c>
      <c r="X3" s="189">
        <f t="shared" si="1"/>
        <v>46326</v>
      </c>
      <c r="Y3" s="189">
        <f t="shared" si="1"/>
        <v>46356</v>
      </c>
      <c r="Z3" s="189">
        <f t="shared" si="1"/>
        <v>46387</v>
      </c>
      <c r="AB3" s="14"/>
    </row>
    <row r="4" spans="1:28" ht="13.35" customHeight="1">
      <c r="A4" s="50" t="s">
        <v>5</v>
      </c>
      <c r="B4" s="141"/>
      <c r="C4" s="80"/>
      <c r="D4" s="93"/>
      <c r="E4" s="226"/>
      <c r="F4" s="89"/>
      <c r="G4" s="81"/>
      <c r="H4" s="82"/>
      <c r="I4" s="83" t="str">
        <f t="shared" ref="I4:I44" si="2">IF(G4&lt;&gt;"",+G4-G4/(1+H4/100),"")</f>
        <v/>
      </c>
      <c r="J4" s="362" t="str">
        <f t="shared" ref="J4:J44" si="3">IF(G4&lt;&gt;0,+G4-I4,"")</f>
        <v/>
      </c>
      <c r="K4" s="200">
        <v>1</v>
      </c>
      <c r="L4" s="133">
        <f>IF(B4&lt;$O$2,0,IF(B4&lt;$P$2,1,IF(B4&lt;$Q$2,2,IF(B4&lt;$R$2,3,IF(B4&lt;$S$2,4,IF(B4&lt;$T$2,5,IF(B4&lt;$U$2,6,IF(B4&lt;$V$2,7,IF(B4&lt;$W$2,8,IF(B4&lt;$X$2,9,IF(B4&lt;$Y$2,10,IF(B4&lt;$Z$2,11,IF(B4&lt;=$Z$3,12,0)))))))))))))</f>
        <v>0</v>
      </c>
      <c r="M4" s="135" t="s">
        <v>5</v>
      </c>
      <c r="N4" s="190">
        <f>+N10+AA12+AA16</f>
        <v>0</v>
      </c>
      <c r="O4" s="251" t="s">
        <v>36</v>
      </c>
      <c r="P4" s="251" t="s">
        <v>37</v>
      </c>
      <c r="Q4" s="251" t="s">
        <v>38</v>
      </c>
      <c r="R4" s="251" t="s">
        <v>39</v>
      </c>
      <c r="S4" s="251" t="s">
        <v>40</v>
      </c>
      <c r="T4" s="251" t="s">
        <v>41</v>
      </c>
      <c r="U4" s="251" t="s">
        <v>42</v>
      </c>
      <c r="V4" s="251" t="s">
        <v>43</v>
      </c>
      <c r="W4" s="251" t="s">
        <v>44</v>
      </c>
      <c r="X4" s="251" t="s">
        <v>45</v>
      </c>
      <c r="Y4" s="251" t="s">
        <v>46</v>
      </c>
      <c r="Z4" s="251" t="s">
        <v>47</v>
      </c>
      <c r="AA4" s="1209" t="s">
        <v>255</v>
      </c>
      <c r="AB4" s="1210"/>
    </row>
    <row r="5" spans="1:28" ht="13.35" customHeight="1">
      <c r="A5" s="50" t="s">
        <v>5</v>
      </c>
      <c r="B5" s="141"/>
      <c r="C5" s="80"/>
      <c r="D5" s="93"/>
      <c r="E5" s="226"/>
      <c r="F5" s="89"/>
      <c r="G5" s="81"/>
      <c r="H5" s="82"/>
      <c r="I5" s="83" t="str">
        <f t="shared" si="2"/>
        <v/>
      </c>
      <c r="J5" s="362" t="str">
        <f t="shared" si="3"/>
        <v/>
      </c>
      <c r="K5" s="200">
        <v>2</v>
      </c>
      <c r="L5" s="133">
        <f t="shared" ref="L5:L44" si="4">IF(B5&lt;$O$2,0,IF(B5&lt;$P$2,1,IF(B5&lt;$Q$2,2,IF(B5&lt;$R$2,3,IF(B5&lt;$S$2,4,IF(B5&lt;$T$2,5,IF(B5&lt;$U$2,6,IF(B5&lt;$V$2,7,IF(B5&lt;$W$2,8,IF(B5&lt;$X$2,9,IF(B5&lt;$Y$2,10,IF(B5&lt;$Z$2,11,IF(B5&lt;=$Z$3,12,0)))))))))))))</f>
        <v>0</v>
      </c>
      <c r="M5" s="135" t="s">
        <v>5</v>
      </c>
      <c r="O5" s="252">
        <f>SUMIFS($G$3:$G$47,$L$3:$L$47,1,$F$3:$F$47,"Konto")</f>
        <v>0</v>
      </c>
      <c r="P5" s="252">
        <f>SUMIFS($G$3:$G$47,$L$3:$L$47,2,$F$3:$F$47,"Konto")</f>
        <v>0</v>
      </c>
      <c r="Q5" s="252">
        <f>SUMIFS($G$3:$G$47,$L$3:$L$47,3,$F$3:$F$47,"Konto")</f>
        <v>0</v>
      </c>
      <c r="R5" s="252">
        <f>SUMIFS($G$3:$G$47,$L$3:$L$47,4,$F$3:$F$47,"Konto")</f>
        <v>0</v>
      </c>
      <c r="S5" s="252">
        <f>SUMIFS($G$3:$G$47,$L$3:$L$47,5,$F$3:$F$47,"Konto")</f>
        <v>0</v>
      </c>
      <c r="T5" s="252">
        <f>SUMIFS($G$3:$G$47,$L$3:$L$47,6,$F$3:$F$47,"Konto")</f>
        <v>0</v>
      </c>
      <c r="U5" s="252">
        <f>SUMIFS($G$3:$G$47,$L$3:$L$47,7,$F$3:$F$47,"Konto")</f>
        <v>0</v>
      </c>
      <c r="V5" s="252">
        <f>SUMIFS($G$3:$G$47,$L$3:$L$47,8,$F$3:$F$47,"Konto")</f>
        <v>0</v>
      </c>
      <c r="W5" s="252">
        <f>SUMIFS($G$3:$G$47,$L$3:$L$47,9,$F$3:$F$47,"Konto")</f>
        <v>0</v>
      </c>
      <c r="X5" s="252">
        <f>SUMIFS($G$3:$G$47,$L$3:$L$47,10,$F$3:$F$47,"Konto")</f>
        <v>0</v>
      </c>
      <c r="Y5" s="252">
        <f>SUMIFS($G$3:$G$47,$L$3:$L$47,11,$F$3:$F$47,"Konto")</f>
        <v>0</v>
      </c>
      <c r="Z5" s="252">
        <f>SUMIFS($G$3:$G$47,$L$3:$L$47,12,$F$3:$F$47,"Konto")</f>
        <v>0</v>
      </c>
      <c r="AA5" s="253">
        <f>SUM(O5:Z5)</f>
        <v>0</v>
      </c>
      <c r="AB5" s="254" t="s">
        <v>140</v>
      </c>
    </row>
    <row r="6" spans="1:28" ht="13.35" customHeight="1">
      <c r="A6" s="50" t="s">
        <v>5</v>
      </c>
      <c r="B6" s="141"/>
      <c r="C6" s="80"/>
      <c r="D6" s="93"/>
      <c r="E6" s="226"/>
      <c r="F6" s="89"/>
      <c r="G6" s="81"/>
      <c r="H6" s="82"/>
      <c r="I6" s="83" t="str">
        <f t="shared" si="2"/>
        <v/>
      </c>
      <c r="J6" s="362" t="str">
        <f t="shared" si="3"/>
        <v/>
      </c>
      <c r="K6" s="200">
        <v>3</v>
      </c>
      <c r="L6" s="133">
        <f t="shared" si="4"/>
        <v>0</v>
      </c>
      <c r="M6" s="135" t="s">
        <v>5</v>
      </c>
      <c r="N6" s="190"/>
      <c r="O6" s="252">
        <f>SUMIFS($G$3:$G$47,$L$3:$L$47,1,$F$3:$F$47,"Kreditkarte")</f>
        <v>0</v>
      </c>
      <c r="P6" s="252">
        <f>SUMIFS($G$3:$G$47,$L$3:$L$47,2,$F$3:$F$47,"Kreditkarte")</f>
        <v>0</v>
      </c>
      <c r="Q6" s="252">
        <f>SUMIFS($G$3:$G$47,$L$3:$L$47,3,$F$3:$F$47,"Kreditkarte")</f>
        <v>0</v>
      </c>
      <c r="R6" s="252">
        <f>SUMIFS($G$3:$G$47,$L$3:$L$47,4,$F$3:$F$47,"Kreditkarte")</f>
        <v>0</v>
      </c>
      <c r="S6" s="252">
        <f>SUMIFS($G$3:$G$47,$L$3:$L$47,5,$F$3:$F$47,"Kreditkarte")</f>
        <v>0</v>
      </c>
      <c r="T6" s="252">
        <f>SUMIFS($G$3:$G$47,$L$3:$L$47,6,$F$3:$F$47,"Kreditkarte")</f>
        <v>0</v>
      </c>
      <c r="U6" s="252">
        <f>SUMIFS($G$3:$G$47,$L$3:$L$47,7,$F$3:$F$47,"Kreditkarte")</f>
        <v>0</v>
      </c>
      <c r="V6" s="252">
        <f>SUMIFS($G$3:$G$47,$L$3:$L$47,8,$F$3:$F$47,"Kreditkarte")</f>
        <v>0</v>
      </c>
      <c r="W6" s="252">
        <f>SUMIFS($G$3:$G$47,$L$3:$L$47,9,$F$3:$F$47,"Kreditkarte")</f>
        <v>0</v>
      </c>
      <c r="X6" s="252">
        <f>SUMIFS($G$3:$G$47,$L$3:$L$47,10,$F$3:$F$47,"Kreditkarte")</f>
        <v>0</v>
      </c>
      <c r="Y6" s="252">
        <f>SUMIFS($G$3:$G$47,$L$3:$L$47,11,$F$3:$F$47,"Kreditkarte")</f>
        <v>0</v>
      </c>
      <c r="Z6" s="252">
        <f>SUMIFS($G$3:$G$47,$L$3:$L$47,12,$F$3:$F$47,"Kreditkarte")</f>
        <v>0</v>
      </c>
      <c r="AA6" s="255">
        <f t="shared" ref="AA6:AA8" si="5">SUM(O6:Z6)</f>
        <v>0</v>
      </c>
      <c r="AB6" s="256" t="s">
        <v>142</v>
      </c>
    </row>
    <row r="7" spans="1:28" ht="13.35" customHeight="1">
      <c r="A7" s="50" t="s">
        <v>5</v>
      </c>
      <c r="B7" s="141"/>
      <c r="C7" s="80"/>
      <c r="D7" s="93"/>
      <c r="E7" s="226"/>
      <c r="F7" s="89"/>
      <c r="G7" s="81"/>
      <c r="H7" s="82"/>
      <c r="I7" s="83" t="str">
        <f t="shared" si="2"/>
        <v/>
      </c>
      <c r="J7" s="362" t="str">
        <f t="shared" si="3"/>
        <v/>
      </c>
      <c r="K7" s="200">
        <v>4</v>
      </c>
      <c r="L7" s="133">
        <f t="shared" si="4"/>
        <v>0</v>
      </c>
      <c r="M7" s="135" t="s">
        <v>5</v>
      </c>
      <c r="O7" s="252">
        <f>SUMIFS($G$3:$G$47,$L$3:$L$47,1,$F$3:$F$47,"Geldbeutel")</f>
        <v>0</v>
      </c>
      <c r="P7" s="252">
        <f>SUMIFS($G$3:$G$47,$L$3:$L$47,2,$F$3:$F$47,"Geldbeutel")</f>
        <v>0</v>
      </c>
      <c r="Q7" s="252">
        <f>SUMIFS($G$3:$G$47,$L$3:$L$47,3,$F$3:$F$47,"Geldbeutel")</f>
        <v>0</v>
      </c>
      <c r="R7" s="252">
        <f>SUMIFS($G$3:$G$47,$L$3:$L$47,4,$F$3:$F$47,"Geldbeutel")</f>
        <v>0</v>
      </c>
      <c r="S7" s="252">
        <f>SUMIFS($G$3:$G$47,$L$3:$L$47,5,$F$3:$F$47,"Geldbeutel")</f>
        <v>0</v>
      </c>
      <c r="T7" s="252">
        <f>SUMIFS($G$3:$G$47,$L$3:$L$47,6,$F$3:$F$47,"Geldbeutel")</f>
        <v>0</v>
      </c>
      <c r="U7" s="252">
        <f>SUMIFS($G$3:$G$47,$L$3:$L$47,7,$F$3:$F$47,"Geldbeutel")</f>
        <v>0</v>
      </c>
      <c r="V7" s="252">
        <f>SUMIFS($G$3:$G$47,$L$3:$L$47,8,$F$3:$F$47,"Geldbeutel")</f>
        <v>0</v>
      </c>
      <c r="W7" s="252">
        <f>SUMIFS($G$3:$G$47,$L$3:$L$47,9,$F$3:$F$47,"Geldbeutel")</f>
        <v>0</v>
      </c>
      <c r="X7" s="252">
        <f>SUMIFS($G$3:$G$47,$L$3:$L$47,10,$F$3:$F$47,"Geldbeutel")</f>
        <v>0</v>
      </c>
      <c r="Y7" s="252">
        <f>SUMIFS($G$3:$G$47,$L$3:$L$47,11,$F$3:$F$47,"Geldbeutel")</f>
        <v>0</v>
      </c>
      <c r="Z7" s="252">
        <f>SUMIFS($G$3:$G$47,$L$3:$L$47,12,$F$3:$F$47,"Geldbeutel")</f>
        <v>0</v>
      </c>
      <c r="AA7" s="253">
        <f t="shared" si="5"/>
        <v>0</v>
      </c>
      <c r="AB7" s="254" t="s">
        <v>139</v>
      </c>
    </row>
    <row r="8" spans="1:28" ht="13.35" customHeight="1">
      <c r="A8" s="50" t="s">
        <v>5</v>
      </c>
      <c r="B8" s="141"/>
      <c r="C8" s="80"/>
      <c r="D8" s="93"/>
      <c r="E8" s="226"/>
      <c r="F8" s="89"/>
      <c r="G8" s="81"/>
      <c r="H8" s="82"/>
      <c r="I8" s="83" t="str">
        <f t="shared" si="2"/>
        <v/>
      </c>
      <c r="J8" s="362" t="str">
        <f t="shared" si="3"/>
        <v/>
      </c>
      <c r="K8" s="200">
        <v>5</v>
      </c>
      <c r="L8" s="133">
        <f t="shared" si="4"/>
        <v>0</v>
      </c>
      <c r="M8" s="135" t="s">
        <v>5</v>
      </c>
      <c r="O8" s="252">
        <f>SUMIFS($G$3:$G$47,$L$3:$L$47,1,$F$3:$F$47,"X")</f>
        <v>0</v>
      </c>
      <c r="P8" s="252">
        <f>SUMIFS($G$3:$G$47,$L$3:$L$47,2,$F$3:$F$47,"X")</f>
        <v>0</v>
      </c>
      <c r="Q8" s="252">
        <f>SUMIFS($G$3:$G$47,$L$3:$L$47,3,$F$3:$F$47,"X")</f>
        <v>0</v>
      </c>
      <c r="R8" s="252">
        <f>SUMIFS($G$3:$G$47,$L$3:$L$47,4,$F$3:$F$47,"X")</f>
        <v>0</v>
      </c>
      <c r="S8" s="252">
        <f>SUMIFS($G$3:$G$47,$L$3:$L$47,5,$F$3:$F$47,"X")</f>
        <v>0</v>
      </c>
      <c r="T8" s="252">
        <f>SUMIFS($G$3:$G$47,$L$3:$L$47,6,$F$3:$F$47,"X")</f>
        <v>0</v>
      </c>
      <c r="U8" s="252">
        <f>SUMIFS($G$3:$G$47,$L$3:$L$47,7,$F$3:$F$47,"X")</f>
        <v>0</v>
      </c>
      <c r="V8" s="252">
        <f>SUMIFS($G$3:$G$47,$L$3:$L$47,8,$F$3:$F$47,"X")</f>
        <v>0</v>
      </c>
      <c r="W8" s="252">
        <f>SUMIFS($G$3:$G$47,$L$3:$L$47,9,$F$3:$F$47,"X")</f>
        <v>0</v>
      </c>
      <c r="X8" s="252">
        <f>SUMIFS($G$3:$G$47,$L$3:$L$47,10,$F$3:$F$47,"X")</f>
        <v>0</v>
      </c>
      <c r="Y8" s="252">
        <f>SUMIFS($G$3:$G$47,$L$3:$L$47,11,$F$3:$F$47,"X")</f>
        <v>0</v>
      </c>
      <c r="Z8" s="252">
        <f>SUMIFS($G$3:$G$47,$L$3:$L$47,12,$F$3:$F$47,"X")</f>
        <v>0</v>
      </c>
      <c r="AA8" s="255">
        <f t="shared" si="5"/>
        <v>0</v>
      </c>
      <c r="AB8" s="256" t="s">
        <v>192</v>
      </c>
    </row>
    <row r="9" spans="1:28" ht="13.35" customHeight="1">
      <c r="A9" s="50" t="s">
        <v>5</v>
      </c>
      <c r="B9" s="141"/>
      <c r="C9" s="80"/>
      <c r="D9" s="93"/>
      <c r="E9" s="226"/>
      <c r="F9" s="89"/>
      <c r="G9" s="81"/>
      <c r="H9" s="82"/>
      <c r="I9" s="83" t="str">
        <f t="shared" si="2"/>
        <v/>
      </c>
      <c r="J9" s="362" t="str">
        <f t="shared" si="3"/>
        <v/>
      </c>
      <c r="K9" s="200">
        <v>6</v>
      </c>
      <c r="L9" s="133">
        <f t="shared" si="4"/>
        <v>0</v>
      </c>
      <c r="M9" s="135" t="s">
        <v>5</v>
      </c>
      <c r="N9" s="191">
        <f>IF(OR(AND(AA14&lt;&gt;0,B48="x"),(O14+AA13)&lt;&gt;H48),1,0)</f>
        <v>0</v>
      </c>
      <c r="O9" s="257">
        <f>SUM(O5:O8)</f>
        <v>0</v>
      </c>
      <c r="P9" s="257">
        <f t="shared" ref="P9:Z9" si="6">SUM(P5:P8)</f>
        <v>0</v>
      </c>
      <c r="Q9" s="257">
        <f t="shared" si="6"/>
        <v>0</v>
      </c>
      <c r="R9" s="257">
        <f t="shared" si="6"/>
        <v>0</v>
      </c>
      <c r="S9" s="257">
        <f t="shared" si="6"/>
        <v>0</v>
      </c>
      <c r="T9" s="257">
        <f t="shared" si="6"/>
        <v>0</v>
      </c>
      <c r="U9" s="257">
        <f t="shared" si="6"/>
        <v>0</v>
      </c>
      <c r="V9" s="257">
        <f t="shared" si="6"/>
        <v>0</v>
      </c>
      <c r="W9" s="257">
        <f t="shared" si="6"/>
        <v>0</v>
      </c>
      <c r="X9" s="257">
        <f t="shared" si="6"/>
        <v>0</v>
      </c>
      <c r="Y9" s="257">
        <f t="shared" si="6"/>
        <v>0</v>
      </c>
      <c r="Z9" s="257">
        <f t="shared" si="6"/>
        <v>0</v>
      </c>
      <c r="AA9" s="1211" t="s">
        <v>197</v>
      </c>
      <c r="AB9" s="1212"/>
    </row>
    <row r="10" spans="1:28" ht="13.35" customHeight="1">
      <c r="A10" s="50" t="s">
        <v>5</v>
      </c>
      <c r="B10" s="141"/>
      <c r="C10" s="80"/>
      <c r="D10" s="93"/>
      <c r="E10" s="226"/>
      <c r="F10" s="89"/>
      <c r="G10" s="81"/>
      <c r="H10" s="82"/>
      <c r="I10" s="83" t="str">
        <f t="shared" si="2"/>
        <v/>
      </c>
      <c r="J10" s="362" t="str">
        <f t="shared" si="3"/>
        <v/>
      </c>
      <c r="K10" s="200">
        <v>7</v>
      </c>
      <c r="L10" s="133">
        <f t="shared" si="4"/>
        <v>0</v>
      </c>
      <c r="M10" s="135" t="s">
        <v>5</v>
      </c>
      <c r="N10" s="259">
        <f>IF(O10+AA10&lt;&gt;G48,1,0)</f>
        <v>0</v>
      </c>
      <c r="O10" s="1230">
        <f>SUM(O5:Z8)</f>
        <v>0</v>
      </c>
      <c r="P10" s="1231"/>
      <c r="Q10" s="1231"/>
      <c r="R10" s="1231"/>
      <c r="S10" s="1231"/>
      <c r="T10" s="1231"/>
      <c r="U10" s="1231"/>
      <c r="V10" s="1231"/>
      <c r="W10" s="1231"/>
      <c r="X10" s="1231"/>
      <c r="Y10" s="1231"/>
      <c r="Z10" s="1232"/>
      <c r="AA10" s="292">
        <f>+G48-AA7-AA6-AA5-AA8</f>
        <v>0</v>
      </c>
      <c r="AB10" s="293" t="s">
        <v>205</v>
      </c>
    </row>
    <row r="11" spans="1:28" ht="13.35" customHeight="1">
      <c r="A11" s="50" t="s">
        <v>5</v>
      </c>
      <c r="B11" s="141"/>
      <c r="C11" s="80"/>
      <c r="D11" s="93"/>
      <c r="E11" s="226"/>
      <c r="F11" s="89"/>
      <c r="G11" s="81"/>
      <c r="H11" s="82"/>
      <c r="I11" s="83" t="str">
        <f t="shared" si="2"/>
        <v/>
      </c>
      <c r="J11" s="362" t="str">
        <f t="shared" si="3"/>
        <v/>
      </c>
      <c r="K11" s="200">
        <v>8</v>
      </c>
      <c r="L11" s="133">
        <f t="shared" si="4"/>
        <v>0</v>
      </c>
      <c r="M11" s="135" t="s">
        <v>5</v>
      </c>
      <c r="O11" s="1219" t="str">
        <f>IF(N4&gt;0,"Fehler!","")</f>
        <v/>
      </c>
      <c r="P11" s="1219"/>
      <c r="Q11" s="1219"/>
      <c r="R11" s="1219"/>
      <c r="S11" s="1219"/>
      <c r="T11" s="1219"/>
      <c r="U11" s="1219"/>
      <c r="V11" s="1219"/>
      <c r="W11" s="1219"/>
      <c r="X11" s="1219"/>
      <c r="Y11" s="1219"/>
      <c r="Z11" s="1219"/>
    </row>
    <row r="12" spans="1:28" ht="13.35" customHeight="1">
      <c r="A12" s="50" t="s">
        <v>5</v>
      </c>
      <c r="B12" s="141"/>
      <c r="C12" s="80"/>
      <c r="D12" s="93"/>
      <c r="E12" s="226"/>
      <c r="F12" s="89"/>
      <c r="G12" s="81"/>
      <c r="H12" s="82"/>
      <c r="I12" s="83" t="str">
        <f t="shared" si="2"/>
        <v/>
      </c>
      <c r="J12" s="362" t="str">
        <f t="shared" si="3"/>
        <v/>
      </c>
      <c r="K12" s="200">
        <v>9</v>
      </c>
      <c r="L12" s="133">
        <f t="shared" si="4"/>
        <v>0</v>
      </c>
      <c r="M12" s="135" t="s">
        <v>5</v>
      </c>
      <c r="O12" s="203" t="s">
        <v>36</v>
      </c>
      <c r="P12" s="203" t="s">
        <v>37</v>
      </c>
      <c r="Q12" s="203" t="s">
        <v>38</v>
      </c>
      <c r="R12" s="203" t="s">
        <v>39</v>
      </c>
      <c r="S12" s="203" t="s">
        <v>40</v>
      </c>
      <c r="T12" s="203" t="s">
        <v>41</v>
      </c>
      <c r="U12" s="203" t="s">
        <v>42</v>
      </c>
      <c r="V12" s="203" t="s">
        <v>43</v>
      </c>
      <c r="W12" s="203" t="s">
        <v>44</v>
      </c>
      <c r="X12" s="203" t="s">
        <v>45</v>
      </c>
      <c r="Y12" s="203" t="s">
        <v>46</v>
      </c>
      <c r="Z12" s="203" t="s">
        <v>47</v>
      </c>
      <c r="AA12" s="221">
        <f>IF(O14+AA13&lt;&gt;H48,1,0)</f>
        <v>0</v>
      </c>
    </row>
    <row r="13" spans="1:28" ht="13.35" customHeight="1">
      <c r="A13" s="50" t="s">
        <v>5</v>
      </c>
      <c r="B13" s="141"/>
      <c r="C13" s="80"/>
      <c r="D13" s="93"/>
      <c r="E13" s="226"/>
      <c r="F13" s="89"/>
      <c r="G13" s="81"/>
      <c r="H13" s="82"/>
      <c r="I13" s="83" t="str">
        <f t="shared" si="2"/>
        <v/>
      </c>
      <c r="J13" s="362" t="str">
        <f t="shared" si="3"/>
        <v/>
      </c>
      <c r="K13" s="200">
        <v>10</v>
      </c>
      <c r="L13" s="133">
        <f t="shared" si="4"/>
        <v>0</v>
      </c>
      <c r="M13" s="135" t="s">
        <v>5</v>
      </c>
      <c r="O13" s="187">
        <f>SUMIF($L$3:$L$47,1,$I$3:$I$47)</f>
        <v>0</v>
      </c>
      <c r="P13" s="187">
        <f>SUMIF($L$3:$L$47,2,$I$3:$I$47)</f>
        <v>0</v>
      </c>
      <c r="Q13" s="187">
        <f>SUMIF($L$3:$L$47,3,$I$3:$I$47)</f>
        <v>0</v>
      </c>
      <c r="R13" s="187">
        <f>SUMIF($L$3:$L$47,4,$I$3:$I$47)</f>
        <v>0</v>
      </c>
      <c r="S13" s="187">
        <f>SUMIF($L$3:$L$47,5,$I$3:$I$47)</f>
        <v>0</v>
      </c>
      <c r="T13" s="187">
        <f>SUMIF($L$3:$L$47,6,$I$3:$I$47)</f>
        <v>0</v>
      </c>
      <c r="U13" s="187">
        <f>SUMIF($L$3:$L$47,7,$I$3:$I$47)</f>
        <v>0</v>
      </c>
      <c r="V13" s="187">
        <f>SUMIF($L$3:$L$47,8,$I$3:$I$47)</f>
        <v>0</v>
      </c>
      <c r="W13" s="187">
        <f>SUMIF($L$3:$L$47,9,$I$3:$I$47)</f>
        <v>0</v>
      </c>
      <c r="X13" s="187">
        <f>SUMIF($L$3:$L$47,10,$I$3:$I$47)</f>
        <v>0</v>
      </c>
      <c r="Y13" s="187">
        <f>SUMIF($L$3:$L$47,11,$I$3:$I$47)</f>
        <v>0</v>
      </c>
      <c r="Z13" s="187">
        <f>SUMIF($L$3:$L$47,12,$I$3:$I$47)</f>
        <v>0</v>
      </c>
      <c r="AA13" s="1220">
        <f>SUMIF($L$3:$L$47,0,$I$3:$I$47)</f>
        <v>0</v>
      </c>
      <c r="AB13" s="1221"/>
    </row>
    <row r="14" spans="1:28" ht="13.35" customHeight="1">
      <c r="A14" s="50" t="s">
        <v>5</v>
      </c>
      <c r="B14" s="141"/>
      <c r="C14" s="80"/>
      <c r="D14" s="93"/>
      <c r="E14" s="226"/>
      <c r="F14" s="89"/>
      <c r="G14" s="81"/>
      <c r="H14" s="82"/>
      <c r="I14" s="83" t="str">
        <f t="shared" si="2"/>
        <v/>
      </c>
      <c r="J14" s="362" t="str">
        <f t="shared" si="3"/>
        <v/>
      </c>
      <c r="K14" s="200">
        <v>11</v>
      </c>
      <c r="L14" s="133">
        <f t="shared" si="4"/>
        <v>0</v>
      </c>
      <c r="M14" s="135" t="s">
        <v>5</v>
      </c>
      <c r="O14" s="1299">
        <f>SUM(O13:Z13)</f>
        <v>0</v>
      </c>
      <c r="P14" s="1300"/>
      <c r="Q14" s="1300"/>
      <c r="R14" s="1300"/>
      <c r="S14" s="1300"/>
      <c r="T14" s="1300"/>
      <c r="U14" s="1300"/>
      <c r="V14" s="1300"/>
      <c r="W14" s="1300"/>
      <c r="X14" s="1300"/>
      <c r="Y14" s="1300"/>
      <c r="Z14" s="1301"/>
      <c r="AA14" s="1222">
        <f>SUM(O13:Z13)+AA13</f>
        <v>0</v>
      </c>
      <c r="AB14" s="1223"/>
    </row>
    <row r="15" spans="1:28" ht="13.35" customHeight="1">
      <c r="A15" s="50" t="s">
        <v>5</v>
      </c>
      <c r="B15" s="141"/>
      <c r="C15" s="260"/>
      <c r="D15" s="93"/>
      <c r="E15" s="226"/>
      <c r="F15" s="89"/>
      <c r="G15" s="81"/>
      <c r="H15" s="82"/>
      <c r="I15" s="83" t="str">
        <f t="shared" si="2"/>
        <v/>
      </c>
      <c r="J15" s="362" t="str">
        <f t="shared" si="3"/>
        <v/>
      </c>
      <c r="K15" s="200">
        <v>12</v>
      </c>
      <c r="L15" s="133">
        <f t="shared" si="4"/>
        <v>0</v>
      </c>
      <c r="M15" s="135" t="s">
        <v>5</v>
      </c>
      <c r="O15" s="244"/>
      <c r="P15" s="244"/>
      <c r="Q15" s="244"/>
      <c r="R15" s="244"/>
      <c r="S15" s="244"/>
      <c r="T15" s="244"/>
      <c r="U15" s="244"/>
      <c r="V15" s="244"/>
      <c r="W15" s="244"/>
      <c r="X15" s="244"/>
      <c r="Y15" s="244"/>
      <c r="Z15" s="244"/>
      <c r="AA15" s="244"/>
      <c r="AB15" s="244"/>
    </row>
    <row r="16" spans="1:28" ht="13.35" customHeight="1">
      <c r="A16" s="50" t="s">
        <v>5</v>
      </c>
      <c r="B16" s="141"/>
      <c r="C16" s="80"/>
      <c r="D16" s="93"/>
      <c r="E16" s="226"/>
      <c r="F16" s="89"/>
      <c r="G16" s="81"/>
      <c r="H16" s="82"/>
      <c r="I16" s="83" t="str">
        <f t="shared" si="2"/>
        <v/>
      </c>
      <c r="J16" s="362" t="str">
        <f t="shared" si="3"/>
        <v/>
      </c>
      <c r="K16" s="200">
        <v>13</v>
      </c>
      <c r="L16" s="133">
        <f t="shared" si="4"/>
        <v>0</v>
      </c>
      <c r="M16" s="135" t="s">
        <v>5</v>
      </c>
      <c r="O16" s="245"/>
      <c r="P16" s="245"/>
      <c r="Q16" s="245"/>
      <c r="R16" s="245"/>
      <c r="S16" s="245"/>
      <c r="T16" s="245"/>
      <c r="U16" s="245"/>
      <c r="V16" s="245"/>
      <c r="W16" s="245"/>
      <c r="X16" s="245"/>
      <c r="Y16" s="245"/>
      <c r="Z16" s="245"/>
      <c r="AA16" s="246"/>
      <c r="AB16" s="244"/>
    </row>
    <row r="17" spans="1:28" ht="13.35" customHeight="1">
      <c r="A17" s="50" t="s">
        <v>5</v>
      </c>
      <c r="B17" s="141"/>
      <c r="C17" s="80"/>
      <c r="D17" s="93"/>
      <c r="E17" s="226"/>
      <c r="F17" s="89"/>
      <c r="G17" s="81"/>
      <c r="H17" s="82"/>
      <c r="I17" s="83" t="str">
        <f t="shared" si="2"/>
        <v/>
      </c>
      <c r="J17" s="362" t="str">
        <f t="shared" si="3"/>
        <v/>
      </c>
      <c r="K17" s="200">
        <v>14</v>
      </c>
      <c r="L17" s="133">
        <f t="shared" si="4"/>
        <v>0</v>
      </c>
      <c r="M17" s="135" t="s">
        <v>5</v>
      </c>
      <c r="O17" s="247"/>
      <c r="P17" s="247"/>
      <c r="Q17" s="247"/>
      <c r="R17" s="247"/>
      <c r="S17" s="247"/>
      <c r="T17" s="247"/>
      <c r="U17" s="247"/>
      <c r="V17" s="247"/>
      <c r="W17" s="247"/>
      <c r="X17" s="247"/>
      <c r="Y17" s="247"/>
      <c r="Z17" s="247"/>
      <c r="AA17" s="1313"/>
      <c r="AB17" s="1313"/>
    </row>
    <row r="18" spans="1:28" ht="13.35" customHeight="1">
      <c r="A18" s="50" t="s">
        <v>5</v>
      </c>
      <c r="B18" s="141"/>
      <c r="C18" s="80"/>
      <c r="D18" s="93"/>
      <c r="E18" s="226"/>
      <c r="F18" s="89"/>
      <c r="G18" s="81"/>
      <c r="H18" s="82"/>
      <c r="I18" s="83" t="str">
        <f t="shared" si="2"/>
        <v/>
      </c>
      <c r="J18" s="362" t="str">
        <f t="shared" si="3"/>
        <v/>
      </c>
      <c r="K18" s="200">
        <v>15</v>
      </c>
      <c r="L18" s="133">
        <f t="shared" si="4"/>
        <v>0</v>
      </c>
      <c r="M18" s="135" t="s">
        <v>5</v>
      </c>
      <c r="O18" s="1314"/>
      <c r="P18" s="1314"/>
      <c r="Q18" s="1314"/>
      <c r="R18" s="1314"/>
      <c r="S18" s="1314"/>
      <c r="T18" s="1314"/>
      <c r="U18" s="1314"/>
      <c r="V18" s="1314"/>
      <c r="W18" s="1314"/>
      <c r="X18" s="1314"/>
      <c r="Y18" s="1314"/>
      <c r="Z18" s="1314"/>
      <c r="AA18" s="1315"/>
      <c r="AB18" s="1315"/>
    </row>
    <row r="19" spans="1:28" ht="13.35" customHeight="1">
      <c r="A19" s="50" t="s">
        <v>5</v>
      </c>
      <c r="B19" s="141"/>
      <c r="C19" s="80"/>
      <c r="D19" s="93"/>
      <c r="E19" s="226"/>
      <c r="F19" s="89"/>
      <c r="G19" s="81"/>
      <c r="H19" s="82"/>
      <c r="I19" s="83" t="str">
        <f t="shared" si="2"/>
        <v/>
      </c>
      <c r="J19" s="362" t="str">
        <f t="shared" si="3"/>
        <v/>
      </c>
      <c r="K19" s="200">
        <v>16</v>
      </c>
      <c r="L19" s="133">
        <f t="shared" si="4"/>
        <v>0</v>
      </c>
      <c r="M19" s="135" t="s">
        <v>5</v>
      </c>
      <c r="O19" s="244"/>
      <c r="P19" s="244"/>
      <c r="Q19" s="244"/>
      <c r="R19" s="244"/>
      <c r="S19" s="244"/>
      <c r="T19" s="244"/>
      <c r="U19" s="244"/>
      <c r="V19" s="244"/>
      <c r="W19" s="244"/>
      <c r="X19" s="244"/>
      <c r="Y19" s="244"/>
      <c r="Z19" s="244"/>
      <c r="AA19" s="244"/>
      <c r="AB19" s="244"/>
    </row>
    <row r="20" spans="1:28" ht="13.35" customHeight="1">
      <c r="A20" s="50" t="s">
        <v>5</v>
      </c>
      <c r="B20" s="141"/>
      <c r="C20" s="80"/>
      <c r="D20" s="93"/>
      <c r="E20" s="226"/>
      <c r="F20" s="89"/>
      <c r="G20" s="81"/>
      <c r="H20" s="82"/>
      <c r="I20" s="83" t="str">
        <f t="shared" si="2"/>
        <v/>
      </c>
      <c r="J20" s="362" t="str">
        <f t="shared" si="3"/>
        <v/>
      </c>
      <c r="K20" s="200">
        <v>17</v>
      </c>
      <c r="L20" s="133">
        <f t="shared" si="4"/>
        <v>0</v>
      </c>
      <c r="M20" s="135" t="s">
        <v>5</v>
      </c>
      <c r="O20" s="244"/>
      <c r="P20" s="244"/>
      <c r="Q20" s="244"/>
      <c r="R20" s="244"/>
      <c r="S20" s="244"/>
      <c r="T20" s="244"/>
      <c r="U20" s="244"/>
      <c r="V20" s="244"/>
      <c r="W20" s="244"/>
      <c r="X20" s="244"/>
      <c r="Y20" s="244"/>
      <c r="Z20" s="244"/>
      <c r="AA20" s="244"/>
      <c r="AB20" s="244"/>
    </row>
    <row r="21" spans="1:28" ht="13.35" customHeight="1">
      <c r="A21" s="50" t="s">
        <v>5</v>
      </c>
      <c r="B21" s="141"/>
      <c r="C21" s="80"/>
      <c r="D21" s="93"/>
      <c r="E21" s="226"/>
      <c r="F21" s="89"/>
      <c r="G21" s="81"/>
      <c r="H21" s="82"/>
      <c r="I21" s="83" t="str">
        <f t="shared" si="2"/>
        <v/>
      </c>
      <c r="J21" s="362" t="str">
        <f t="shared" si="3"/>
        <v/>
      </c>
      <c r="K21" s="200">
        <v>18</v>
      </c>
      <c r="L21" s="133">
        <f t="shared" si="4"/>
        <v>0</v>
      </c>
      <c r="M21" s="135" t="s">
        <v>5</v>
      </c>
      <c r="O21" s="244"/>
      <c r="P21" s="244"/>
      <c r="Q21" s="244"/>
      <c r="R21" s="244"/>
      <c r="S21" s="244"/>
      <c r="T21" s="244"/>
      <c r="U21" s="244"/>
      <c r="V21" s="244"/>
      <c r="W21" s="244"/>
      <c r="X21" s="244"/>
      <c r="Y21" s="244"/>
      <c r="Z21" s="244"/>
      <c r="AA21" s="244"/>
      <c r="AB21" s="244"/>
    </row>
    <row r="22" spans="1:28" ht="13.35" customHeight="1">
      <c r="A22" s="50" t="s">
        <v>5</v>
      </c>
      <c r="B22" s="141"/>
      <c r="C22" s="80"/>
      <c r="D22" s="93"/>
      <c r="E22" s="226"/>
      <c r="F22" s="89"/>
      <c r="G22" s="81"/>
      <c r="H22" s="82"/>
      <c r="I22" s="83" t="str">
        <f t="shared" si="2"/>
        <v/>
      </c>
      <c r="J22" s="362" t="str">
        <f t="shared" si="3"/>
        <v/>
      </c>
      <c r="K22" s="200">
        <v>19</v>
      </c>
      <c r="L22" s="133">
        <f t="shared" si="4"/>
        <v>0</v>
      </c>
      <c r="M22" s="135" t="s">
        <v>5</v>
      </c>
      <c r="O22" s="244"/>
      <c r="P22" s="244"/>
      <c r="Q22" s="244"/>
      <c r="R22" s="244"/>
      <c r="S22" s="244"/>
      <c r="T22" s="244"/>
      <c r="U22" s="244"/>
      <c r="V22" s="244"/>
      <c r="W22" s="244"/>
      <c r="X22" s="244"/>
      <c r="Y22" s="244"/>
      <c r="Z22" s="244"/>
      <c r="AA22" s="244"/>
      <c r="AB22" s="244"/>
    </row>
    <row r="23" spans="1:28" ht="13.35" customHeight="1">
      <c r="A23" s="50" t="s">
        <v>5</v>
      </c>
      <c r="B23" s="141"/>
      <c r="C23" s="80"/>
      <c r="D23" s="94"/>
      <c r="E23" s="226"/>
      <c r="F23" s="89"/>
      <c r="G23" s="81"/>
      <c r="H23" s="82"/>
      <c r="I23" s="83" t="str">
        <f t="shared" si="2"/>
        <v/>
      </c>
      <c r="J23" s="362" t="str">
        <f t="shared" si="3"/>
        <v/>
      </c>
      <c r="K23" s="200">
        <v>20</v>
      </c>
      <c r="L23" s="133">
        <f t="shared" si="4"/>
        <v>0</v>
      </c>
      <c r="M23" s="135" t="s">
        <v>5</v>
      </c>
      <c r="O23" s="244"/>
      <c r="P23" s="244"/>
      <c r="Q23" s="244"/>
      <c r="R23" s="244"/>
      <c r="S23" s="244"/>
      <c r="T23" s="244"/>
      <c r="U23" s="244"/>
      <c r="V23" s="244"/>
      <c r="W23" s="244"/>
      <c r="X23" s="244"/>
      <c r="Y23" s="244"/>
      <c r="Z23" s="244"/>
      <c r="AA23" s="244"/>
      <c r="AB23" s="244"/>
    </row>
    <row r="24" spans="1:28" ht="13.35" customHeight="1">
      <c r="A24" s="50" t="s">
        <v>5</v>
      </c>
      <c r="B24" s="141"/>
      <c r="C24" s="80"/>
      <c r="D24" s="93"/>
      <c r="E24" s="226"/>
      <c r="F24" s="89"/>
      <c r="G24" s="81"/>
      <c r="H24" s="82"/>
      <c r="I24" s="83" t="str">
        <f t="shared" si="2"/>
        <v/>
      </c>
      <c r="J24" s="362" t="str">
        <f t="shared" si="3"/>
        <v/>
      </c>
      <c r="K24" s="200">
        <v>21</v>
      </c>
      <c r="L24" s="133">
        <f t="shared" si="4"/>
        <v>0</v>
      </c>
      <c r="M24" s="135" t="s">
        <v>5</v>
      </c>
      <c r="O24" s="248"/>
      <c r="P24" s="248"/>
      <c r="Q24" s="248"/>
      <c r="R24" s="248"/>
      <c r="S24" s="248"/>
      <c r="T24" s="248"/>
      <c r="U24" s="248"/>
      <c r="V24" s="248"/>
      <c r="W24" s="248"/>
      <c r="X24" s="248"/>
      <c r="Y24" s="248"/>
      <c r="Z24" s="248"/>
      <c r="AA24" s="248"/>
      <c r="AB24" s="244"/>
    </row>
    <row r="25" spans="1:28" ht="13.35" customHeight="1">
      <c r="A25" s="50" t="s">
        <v>5</v>
      </c>
      <c r="B25" s="141"/>
      <c r="C25" s="80"/>
      <c r="D25" s="93"/>
      <c r="E25" s="226"/>
      <c r="F25" s="89"/>
      <c r="G25" s="81"/>
      <c r="H25" s="82"/>
      <c r="I25" s="83" t="str">
        <f t="shared" si="2"/>
        <v/>
      </c>
      <c r="J25" s="362" t="str">
        <f t="shared" si="3"/>
        <v/>
      </c>
      <c r="K25" s="200">
        <v>22</v>
      </c>
      <c r="L25" s="133">
        <f t="shared" si="4"/>
        <v>0</v>
      </c>
      <c r="M25" s="135" t="s">
        <v>5</v>
      </c>
      <c r="O25" s="248"/>
      <c r="P25" s="248"/>
      <c r="Q25" s="248"/>
      <c r="R25" s="248"/>
      <c r="S25" s="248"/>
      <c r="T25" s="248"/>
      <c r="U25" s="248"/>
      <c r="V25" s="248"/>
      <c r="W25" s="248"/>
      <c r="X25" s="248"/>
      <c r="Y25" s="248"/>
      <c r="Z25" s="248"/>
      <c r="AA25" s="248"/>
      <c r="AB25" s="244"/>
    </row>
    <row r="26" spans="1:28" ht="13.35" customHeight="1">
      <c r="A26" s="50" t="s">
        <v>5</v>
      </c>
      <c r="B26" s="141"/>
      <c r="C26" s="80"/>
      <c r="D26" s="93"/>
      <c r="E26" s="226"/>
      <c r="F26" s="89"/>
      <c r="G26" s="81"/>
      <c r="H26" s="82"/>
      <c r="I26" s="83" t="str">
        <f t="shared" si="2"/>
        <v/>
      </c>
      <c r="J26" s="362" t="str">
        <f t="shared" si="3"/>
        <v/>
      </c>
      <c r="K26" s="200">
        <v>23</v>
      </c>
      <c r="L26" s="133">
        <f t="shared" si="4"/>
        <v>0</v>
      </c>
      <c r="M26" s="135" t="s">
        <v>5</v>
      </c>
      <c r="O26" s="248"/>
      <c r="P26" s="248"/>
      <c r="Q26" s="248"/>
      <c r="R26" s="248"/>
      <c r="S26" s="248"/>
      <c r="T26" s="248"/>
      <c r="U26" s="248"/>
      <c r="V26" s="248"/>
      <c r="W26" s="248"/>
      <c r="X26" s="248"/>
      <c r="Y26" s="248"/>
      <c r="Z26" s="248"/>
      <c r="AA26" s="248"/>
      <c r="AB26" s="244"/>
    </row>
    <row r="27" spans="1:28" ht="13.35" customHeight="1">
      <c r="A27" s="50" t="s">
        <v>5</v>
      </c>
      <c r="B27" s="141"/>
      <c r="C27" s="80"/>
      <c r="D27" s="93"/>
      <c r="E27" s="226"/>
      <c r="F27" s="89"/>
      <c r="G27" s="81"/>
      <c r="H27" s="82"/>
      <c r="I27" s="83" t="str">
        <f t="shared" si="2"/>
        <v/>
      </c>
      <c r="J27" s="362" t="str">
        <f t="shared" si="3"/>
        <v/>
      </c>
      <c r="K27" s="200">
        <v>24</v>
      </c>
      <c r="L27" s="133">
        <f t="shared" si="4"/>
        <v>0</v>
      </c>
      <c r="M27" s="135" t="s">
        <v>5</v>
      </c>
    </row>
    <row r="28" spans="1:28" ht="13.35" customHeight="1">
      <c r="A28" s="50" t="s">
        <v>5</v>
      </c>
      <c r="B28" s="141"/>
      <c r="C28" s="80"/>
      <c r="D28" s="93"/>
      <c r="E28" s="226"/>
      <c r="F28" s="89"/>
      <c r="G28" s="81"/>
      <c r="H28" s="82"/>
      <c r="I28" s="83" t="str">
        <f t="shared" si="2"/>
        <v/>
      </c>
      <c r="J28" s="362" t="str">
        <f t="shared" si="3"/>
        <v/>
      </c>
      <c r="K28" s="200">
        <v>25</v>
      </c>
      <c r="L28" s="133">
        <f t="shared" si="4"/>
        <v>0</v>
      </c>
      <c r="M28" s="135" t="s">
        <v>5</v>
      </c>
    </row>
    <row r="29" spans="1:28" ht="13.35" customHeight="1">
      <c r="A29" s="50" t="s">
        <v>5</v>
      </c>
      <c r="B29" s="141"/>
      <c r="C29" s="80"/>
      <c r="D29" s="93"/>
      <c r="E29" s="226"/>
      <c r="F29" s="89"/>
      <c r="G29" s="81"/>
      <c r="H29" s="82"/>
      <c r="I29" s="83" t="str">
        <f t="shared" si="2"/>
        <v/>
      </c>
      <c r="J29" s="362" t="str">
        <f t="shared" si="3"/>
        <v/>
      </c>
      <c r="K29" s="200">
        <v>26</v>
      </c>
      <c r="L29" s="133">
        <f t="shared" si="4"/>
        <v>0</v>
      </c>
      <c r="M29" s="135" t="s">
        <v>5</v>
      </c>
    </row>
    <row r="30" spans="1:28" ht="13.35" customHeight="1">
      <c r="A30" s="50" t="s">
        <v>5</v>
      </c>
      <c r="B30" s="141"/>
      <c r="C30" s="80"/>
      <c r="D30" s="93"/>
      <c r="E30" s="226"/>
      <c r="F30" s="89"/>
      <c r="G30" s="81"/>
      <c r="H30" s="82"/>
      <c r="I30" s="83" t="str">
        <f t="shared" si="2"/>
        <v/>
      </c>
      <c r="J30" s="362" t="str">
        <f t="shared" si="3"/>
        <v/>
      </c>
      <c r="K30" s="200">
        <v>27</v>
      </c>
      <c r="L30" s="133">
        <f t="shared" si="4"/>
        <v>0</v>
      </c>
      <c r="M30" s="135" t="s">
        <v>5</v>
      </c>
      <c r="O30" s="147"/>
      <c r="P30" s="147"/>
      <c r="Q30" s="147"/>
      <c r="R30" s="147"/>
      <c r="S30" s="147"/>
      <c r="T30" s="147"/>
      <c r="U30" s="147"/>
      <c r="V30" s="147"/>
      <c r="W30" s="147"/>
      <c r="X30" s="147"/>
      <c r="Y30" s="147"/>
      <c r="Z30" s="147"/>
      <c r="AA30" s="147"/>
    </row>
    <row r="31" spans="1:28" ht="13.35" customHeight="1">
      <c r="A31" s="50" t="s">
        <v>5</v>
      </c>
      <c r="B31" s="141"/>
      <c r="C31" s="80"/>
      <c r="D31" s="93"/>
      <c r="E31" s="226"/>
      <c r="F31" s="89"/>
      <c r="G31" s="81"/>
      <c r="H31" s="82"/>
      <c r="I31" s="83" t="str">
        <f t="shared" si="2"/>
        <v/>
      </c>
      <c r="J31" s="362" t="str">
        <f t="shared" si="3"/>
        <v/>
      </c>
      <c r="K31" s="200">
        <v>28</v>
      </c>
      <c r="L31" s="133">
        <f t="shared" si="4"/>
        <v>0</v>
      </c>
      <c r="M31" s="135" t="s">
        <v>5</v>
      </c>
      <c r="O31" s="147"/>
      <c r="P31" s="147"/>
      <c r="Q31" s="147"/>
      <c r="R31" s="147"/>
      <c r="S31" s="147"/>
      <c r="T31" s="147"/>
      <c r="U31" s="147"/>
      <c r="V31" s="147"/>
      <c r="W31" s="147"/>
      <c r="X31" s="147"/>
      <c r="Y31" s="147"/>
      <c r="Z31" s="147"/>
      <c r="AA31" s="147"/>
    </row>
    <row r="32" spans="1:28" ht="13.35" customHeight="1">
      <c r="A32" s="50" t="s">
        <v>5</v>
      </c>
      <c r="B32" s="141"/>
      <c r="C32" s="80"/>
      <c r="D32" s="93"/>
      <c r="E32" s="226"/>
      <c r="F32" s="89"/>
      <c r="G32" s="81"/>
      <c r="H32" s="82"/>
      <c r="I32" s="83" t="str">
        <f t="shared" si="2"/>
        <v/>
      </c>
      <c r="J32" s="362" t="str">
        <f t="shared" si="3"/>
        <v/>
      </c>
      <c r="K32" s="200">
        <v>29</v>
      </c>
      <c r="L32" s="133">
        <f t="shared" si="4"/>
        <v>0</v>
      </c>
      <c r="M32" s="135" t="s">
        <v>5</v>
      </c>
      <c r="O32" s="147"/>
      <c r="P32" s="147"/>
      <c r="Q32" s="147"/>
      <c r="R32" s="147"/>
      <c r="S32" s="147"/>
      <c r="T32" s="147"/>
      <c r="U32" s="147"/>
      <c r="V32" s="147"/>
      <c r="W32" s="147"/>
      <c r="X32" s="147"/>
      <c r="Y32" s="147"/>
      <c r="Z32" s="147"/>
      <c r="AA32" s="147"/>
    </row>
    <row r="33" spans="1:27" ht="13.35" customHeight="1">
      <c r="A33" s="50" t="s">
        <v>5</v>
      </c>
      <c r="B33" s="141"/>
      <c r="C33" s="80"/>
      <c r="D33" s="93"/>
      <c r="E33" s="226"/>
      <c r="F33" s="89"/>
      <c r="G33" s="81"/>
      <c r="H33" s="82"/>
      <c r="I33" s="83" t="str">
        <f t="shared" si="2"/>
        <v/>
      </c>
      <c r="J33" s="362" t="str">
        <f t="shared" si="3"/>
        <v/>
      </c>
      <c r="K33" s="200">
        <v>30</v>
      </c>
      <c r="L33" s="133">
        <f t="shared" si="4"/>
        <v>0</v>
      </c>
      <c r="M33" s="135" t="s">
        <v>5</v>
      </c>
      <c r="O33" s="147"/>
      <c r="P33" s="147"/>
      <c r="Q33" s="147"/>
      <c r="R33" s="147"/>
      <c r="S33" s="147"/>
      <c r="T33" s="147"/>
      <c r="U33" s="147"/>
      <c r="V33" s="147"/>
      <c r="W33" s="147"/>
      <c r="X33" s="147"/>
      <c r="Y33" s="147"/>
      <c r="Z33" s="147"/>
      <c r="AA33" s="147"/>
    </row>
    <row r="34" spans="1:27" ht="13.35" customHeight="1">
      <c r="A34" s="50" t="s">
        <v>5</v>
      </c>
      <c r="B34" s="141"/>
      <c r="C34" s="80"/>
      <c r="D34" s="93"/>
      <c r="E34" s="226"/>
      <c r="F34" s="89"/>
      <c r="G34" s="81"/>
      <c r="H34" s="82"/>
      <c r="I34" s="83" t="str">
        <f t="shared" si="2"/>
        <v/>
      </c>
      <c r="J34" s="362" t="str">
        <f t="shared" si="3"/>
        <v/>
      </c>
      <c r="K34" s="200">
        <v>31</v>
      </c>
      <c r="L34" s="133">
        <f t="shared" si="4"/>
        <v>0</v>
      </c>
      <c r="M34" s="135" t="s">
        <v>5</v>
      </c>
      <c r="O34" s="147"/>
      <c r="P34" s="147"/>
      <c r="Q34" s="147"/>
      <c r="R34" s="147"/>
      <c r="S34" s="147"/>
      <c r="T34" s="147"/>
      <c r="U34" s="147"/>
      <c r="V34" s="147"/>
      <c r="W34" s="147"/>
      <c r="X34" s="147"/>
      <c r="Y34" s="147"/>
      <c r="Z34" s="147"/>
      <c r="AA34" s="147"/>
    </row>
    <row r="35" spans="1:27" ht="13.35" customHeight="1">
      <c r="A35" s="50" t="s">
        <v>5</v>
      </c>
      <c r="B35" s="141"/>
      <c r="C35" s="80"/>
      <c r="D35" s="93"/>
      <c r="E35" s="226"/>
      <c r="F35" s="89"/>
      <c r="G35" s="81"/>
      <c r="H35" s="82"/>
      <c r="I35" s="83" t="str">
        <f t="shared" si="2"/>
        <v/>
      </c>
      <c r="J35" s="362" t="str">
        <f t="shared" si="3"/>
        <v/>
      </c>
      <c r="K35" s="200">
        <v>32</v>
      </c>
      <c r="L35" s="133">
        <f t="shared" si="4"/>
        <v>0</v>
      </c>
      <c r="M35" s="135" t="s">
        <v>5</v>
      </c>
      <c r="O35" s="147"/>
      <c r="P35" s="147"/>
      <c r="Q35" s="147"/>
      <c r="R35" s="147"/>
      <c r="S35" s="147"/>
      <c r="T35" s="147"/>
      <c r="U35" s="147"/>
      <c r="V35" s="147"/>
      <c r="W35" s="147"/>
      <c r="X35" s="147"/>
      <c r="Y35" s="147"/>
      <c r="Z35" s="147"/>
      <c r="AA35" s="147"/>
    </row>
    <row r="36" spans="1:27" ht="13.35" customHeight="1">
      <c r="A36" s="50" t="s">
        <v>5</v>
      </c>
      <c r="B36" s="141"/>
      <c r="C36" s="80"/>
      <c r="D36" s="93"/>
      <c r="E36" s="226"/>
      <c r="F36" s="89"/>
      <c r="G36" s="81"/>
      <c r="H36" s="82"/>
      <c r="I36" s="83" t="str">
        <f t="shared" si="2"/>
        <v/>
      </c>
      <c r="J36" s="362" t="str">
        <f t="shared" si="3"/>
        <v/>
      </c>
      <c r="K36" s="200">
        <v>33</v>
      </c>
      <c r="L36" s="133">
        <f t="shared" si="4"/>
        <v>0</v>
      </c>
      <c r="M36" s="135" t="s">
        <v>5</v>
      </c>
      <c r="O36" s="147"/>
      <c r="P36" s="147"/>
      <c r="Q36" s="147"/>
      <c r="R36" s="147"/>
      <c r="S36" s="147"/>
      <c r="T36" s="147"/>
      <c r="U36" s="147"/>
      <c r="V36" s="147"/>
      <c r="W36" s="147"/>
      <c r="X36" s="147"/>
      <c r="Y36" s="147"/>
      <c r="Z36" s="147"/>
      <c r="AA36" s="147"/>
    </row>
    <row r="37" spans="1:27" ht="13.35" customHeight="1">
      <c r="A37" s="50" t="s">
        <v>5</v>
      </c>
      <c r="B37" s="141"/>
      <c r="C37" s="80"/>
      <c r="D37" s="93"/>
      <c r="E37" s="226"/>
      <c r="F37" s="89"/>
      <c r="G37" s="81"/>
      <c r="H37" s="82"/>
      <c r="I37" s="83" t="str">
        <f t="shared" si="2"/>
        <v/>
      </c>
      <c r="J37" s="362" t="str">
        <f t="shared" si="3"/>
        <v/>
      </c>
      <c r="K37" s="200">
        <v>34</v>
      </c>
      <c r="L37" s="133">
        <f t="shared" si="4"/>
        <v>0</v>
      </c>
      <c r="M37" s="135" t="s">
        <v>5</v>
      </c>
      <c r="O37" s="147"/>
      <c r="P37" s="147"/>
      <c r="Q37" s="147"/>
      <c r="R37" s="147"/>
      <c r="S37" s="147"/>
      <c r="T37" s="147"/>
      <c r="U37" s="147"/>
      <c r="V37" s="147"/>
      <c r="W37" s="147"/>
      <c r="X37" s="147"/>
      <c r="Y37" s="147"/>
      <c r="Z37" s="147"/>
      <c r="AA37" s="147"/>
    </row>
    <row r="38" spans="1:27" ht="13.35" customHeight="1">
      <c r="A38" s="50" t="s">
        <v>5</v>
      </c>
      <c r="B38" s="141"/>
      <c r="C38" s="80"/>
      <c r="D38" s="93"/>
      <c r="E38" s="226"/>
      <c r="F38" s="89"/>
      <c r="G38" s="81"/>
      <c r="H38" s="82"/>
      <c r="I38" s="83" t="str">
        <f t="shared" si="2"/>
        <v/>
      </c>
      <c r="J38" s="362" t="str">
        <f t="shared" si="3"/>
        <v/>
      </c>
      <c r="K38" s="200">
        <v>35</v>
      </c>
      <c r="L38" s="133">
        <f t="shared" si="4"/>
        <v>0</v>
      </c>
      <c r="M38" s="135" t="s">
        <v>5</v>
      </c>
      <c r="O38" s="147"/>
      <c r="P38" s="147"/>
      <c r="Q38" s="147"/>
      <c r="R38" s="147"/>
      <c r="S38" s="147"/>
      <c r="T38" s="147"/>
      <c r="U38" s="147"/>
      <c r="V38" s="147"/>
      <c r="W38" s="147"/>
      <c r="X38" s="147"/>
      <c r="Y38" s="147"/>
      <c r="Z38" s="147"/>
      <c r="AA38" s="147"/>
    </row>
    <row r="39" spans="1:27" ht="13.35" customHeight="1">
      <c r="A39" s="50" t="s">
        <v>5</v>
      </c>
      <c r="B39" s="141"/>
      <c r="C39" s="80"/>
      <c r="D39" s="93"/>
      <c r="E39" s="226"/>
      <c r="F39" s="89"/>
      <c r="G39" s="81"/>
      <c r="H39" s="82"/>
      <c r="I39" s="83" t="str">
        <f t="shared" si="2"/>
        <v/>
      </c>
      <c r="J39" s="362" t="str">
        <f t="shared" si="3"/>
        <v/>
      </c>
      <c r="K39" s="200">
        <v>36</v>
      </c>
      <c r="L39" s="133">
        <f t="shared" si="4"/>
        <v>0</v>
      </c>
      <c r="M39" s="135" t="s">
        <v>5</v>
      </c>
      <c r="O39" s="147"/>
      <c r="P39" s="147"/>
      <c r="Q39" s="147"/>
      <c r="R39" s="147"/>
      <c r="S39" s="147"/>
      <c r="T39" s="147"/>
      <c r="U39" s="147"/>
      <c r="V39" s="147"/>
      <c r="W39" s="147"/>
      <c r="X39" s="147"/>
      <c r="Y39" s="147"/>
      <c r="Z39" s="147"/>
      <c r="AA39" s="147"/>
    </row>
    <row r="40" spans="1:27" ht="13.35" customHeight="1">
      <c r="A40" s="50" t="s">
        <v>5</v>
      </c>
      <c r="B40" s="141"/>
      <c r="C40" s="80"/>
      <c r="D40" s="93"/>
      <c r="E40" s="226"/>
      <c r="F40" s="89"/>
      <c r="G40" s="81"/>
      <c r="H40" s="82"/>
      <c r="I40" s="83" t="str">
        <f t="shared" si="2"/>
        <v/>
      </c>
      <c r="J40" s="362" t="str">
        <f t="shared" si="3"/>
        <v/>
      </c>
      <c r="K40" s="200">
        <v>37</v>
      </c>
      <c r="L40" s="133">
        <f t="shared" si="4"/>
        <v>0</v>
      </c>
      <c r="M40" s="135" t="s">
        <v>5</v>
      </c>
      <c r="AA40" s="147"/>
    </row>
    <row r="41" spans="1:27" ht="13.35" customHeight="1">
      <c r="A41" s="50" t="s">
        <v>5</v>
      </c>
      <c r="B41" s="141"/>
      <c r="C41" s="80"/>
      <c r="D41" s="93"/>
      <c r="E41" s="226"/>
      <c r="F41" s="89"/>
      <c r="G41" s="81"/>
      <c r="H41" s="82"/>
      <c r="I41" s="83" t="str">
        <f t="shared" si="2"/>
        <v/>
      </c>
      <c r="J41" s="362" t="str">
        <f t="shared" si="3"/>
        <v/>
      </c>
      <c r="K41" s="200">
        <v>38</v>
      </c>
      <c r="L41" s="133">
        <f t="shared" si="4"/>
        <v>0</v>
      </c>
      <c r="M41" s="135" t="s">
        <v>5</v>
      </c>
      <c r="O41" s="147"/>
      <c r="P41" s="147"/>
      <c r="Q41" s="147"/>
      <c r="R41" s="147"/>
      <c r="S41" s="147"/>
      <c r="T41" s="147"/>
      <c r="U41" s="147"/>
      <c r="V41" s="147"/>
      <c r="W41" s="147"/>
      <c r="X41" s="147"/>
      <c r="Y41" s="147"/>
      <c r="Z41" s="147"/>
      <c r="AA41" s="147"/>
    </row>
    <row r="42" spans="1:27" ht="13.35" customHeight="1">
      <c r="A42" s="50" t="s">
        <v>5</v>
      </c>
      <c r="B42" s="141"/>
      <c r="C42" s="80"/>
      <c r="D42" s="93"/>
      <c r="E42" s="226"/>
      <c r="F42" s="89"/>
      <c r="G42" s="81"/>
      <c r="H42" s="82"/>
      <c r="I42" s="83" t="str">
        <f t="shared" si="2"/>
        <v/>
      </c>
      <c r="J42" s="362" t="str">
        <f t="shared" si="3"/>
        <v/>
      </c>
      <c r="K42" s="200">
        <v>39</v>
      </c>
      <c r="L42" s="133">
        <f t="shared" si="4"/>
        <v>0</v>
      </c>
      <c r="M42" s="135" t="s">
        <v>5</v>
      </c>
      <c r="O42" s="147"/>
      <c r="P42" s="147"/>
      <c r="Q42" s="147"/>
      <c r="R42" s="147"/>
      <c r="S42" s="147"/>
      <c r="T42" s="147"/>
      <c r="U42" s="147"/>
      <c r="V42" s="147"/>
      <c r="W42" s="147"/>
      <c r="X42" s="147"/>
      <c r="Y42" s="147"/>
      <c r="Z42" s="147"/>
      <c r="AA42" s="147"/>
    </row>
    <row r="43" spans="1:27" ht="13.35" customHeight="1">
      <c r="A43" s="50" t="s">
        <v>5</v>
      </c>
      <c r="B43" s="141"/>
      <c r="C43" s="80"/>
      <c r="D43" s="93"/>
      <c r="E43" s="226"/>
      <c r="F43" s="89"/>
      <c r="G43" s="81"/>
      <c r="H43" s="82"/>
      <c r="I43" s="83" t="str">
        <f t="shared" si="2"/>
        <v/>
      </c>
      <c r="J43" s="362" t="str">
        <f t="shared" si="3"/>
        <v/>
      </c>
      <c r="K43" s="200">
        <v>40</v>
      </c>
      <c r="L43" s="133">
        <f t="shared" si="4"/>
        <v>0</v>
      </c>
      <c r="M43" s="135" t="s">
        <v>5</v>
      </c>
      <c r="O43" s="147"/>
      <c r="P43" s="147"/>
      <c r="Q43" s="147"/>
      <c r="R43" s="147"/>
      <c r="S43" s="147"/>
      <c r="T43" s="147"/>
      <c r="U43" s="147"/>
      <c r="V43" s="147"/>
      <c r="W43" s="147"/>
      <c r="X43" s="147"/>
      <c r="Y43" s="147"/>
      <c r="Z43" s="147"/>
      <c r="AA43" s="147"/>
    </row>
    <row r="44" spans="1:27" ht="13.35" customHeight="1">
      <c r="A44" s="50" t="s">
        <v>5</v>
      </c>
      <c r="B44" s="141"/>
      <c r="C44" s="80"/>
      <c r="D44" s="93"/>
      <c r="E44" s="226"/>
      <c r="F44" s="89"/>
      <c r="G44" s="81"/>
      <c r="H44" s="82"/>
      <c r="I44" s="83" t="str">
        <f t="shared" si="2"/>
        <v/>
      </c>
      <c r="J44" s="362" t="str">
        <f t="shared" si="3"/>
        <v/>
      </c>
      <c r="K44" s="200">
        <v>41</v>
      </c>
      <c r="L44" s="133">
        <f t="shared" si="4"/>
        <v>0</v>
      </c>
      <c r="M44" s="135" t="s">
        <v>5</v>
      </c>
      <c r="O44" s="147"/>
      <c r="P44" s="147"/>
      <c r="Q44" s="147"/>
      <c r="R44" s="147"/>
      <c r="S44" s="147"/>
      <c r="T44" s="147"/>
      <c r="U44" s="147"/>
      <c r="V44" s="147"/>
      <c r="W44" s="147"/>
      <c r="X44" s="147"/>
      <c r="Y44" s="147"/>
      <c r="Z44" s="147"/>
      <c r="AA44" s="147"/>
    </row>
    <row r="45" spans="1:27" ht="13.35" customHeight="1">
      <c r="A45" s="50" t="s">
        <v>5</v>
      </c>
      <c r="B45" s="141"/>
      <c r="C45" s="80"/>
      <c r="D45" s="93"/>
      <c r="E45" s="226"/>
      <c r="F45" s="89"/>
      <c r="G45" s="81"/>
      <c r="H45" s="82"/>
      <c r="I45" s="83" t="str">
        <f t="shared" ref="I45:I46" si="7">IF(G45&lt;&gt;"",+G45-G45/(1+H45/100),"")</f>
        <v/>
      </c>
      <c r="J45" s="362" t="str">
        <f t="shared" ref="J45:J46" si="8">IF(G45&lt;&gt;0,+G45-I45,"")</f>
        <v/>
      </c>
      <c r="K45" s="200">
        <v>44</v>
      </c>
      <c r="L45" s="133">
        <f t="shared" ref="L45:L46" si="9">IF(B45&lt;$O$2,0,IF(B45&lt;$P$2,1,IF(B45&lt;$Q$2,2,IF(B45&lt;$R$2,3,IF(B45&lt;$S$2,4,IF(B45&lt;$T$2,5,IF(B45&lt;$U$2,6,IF(B45&lt;$V$2,7,IF(B45&lt;$W$2,8,IF(B45&lt;$X$2,9,IF(B45&lt;$Y$2,10,IF(B45&lt;$Z$2,11,IF(B45&lt;=$Z$3,12,0)))))))))))))</f>
        <v>0</v>
      </c>
      <c r="M45" s="135" t="s">
        <v>5</v>
      </c>
    </row>
    <row r="46" spans="1:27" ht="13.35" customHeight="1" thickBot="1">
      <c r="A46" s="50" t="s">
        <v>5</v>
      </c>
      <c r="B46" s="141"/>
      <c r="C46" s="80"/>
      <c r="D46" s="93"/>
      <c r="E46" s="226"/>
      <c r="F46" s="89"/>
      <c r="G46" s="81"/>
      <c r="H46" s="82"/>
      <c r="I46" s="83" t="str">
        <f t="shared" si="7"/>
        <v/>
      </c>
      <c r="J46" s="362" t="str">
        <f t="shared" si="8"/>
        <v/>
      </c>
      <c r="K46" s="200">
        <v>45</v>
      </c>
      <c r="L46" s="133">
        <f t="shared" si="9"/>
        <v>0</v>
      </c>
      <c r="M46" s="135" t="s">
        <v>5</v>
      </c>
    </row>
    <row r="47" spans="1:27" ht="12" customHeight="1" thickTop="1" thickBot="1">
      <c r="A47" s="391" t="s">
        <v>283</v>
      </c>
      <c r="B47" s="1306" t="str">
        <f>IF($A$48=0,"^ Zeile einfügen","bis hierher ziehen!")</f>
        <v>^ Zeile einfügen</v>
      </c>
      <c r="C47" s="1306"/>
      <c r="D47" s="392" t="s">
        <v>5</v>
      </c>
      <c r="E47" s="393" t="s">
        <v>5</v>
      </c>
      <c r="F47" s="394" t="s">
        <v>5</v>
      </c>
      <c r="G47" s="394"/>
      <c r="H47" s="395"/>
      <c r="I47" s="396"/>
      <c r="J47" s="425"/>
      <c r="K47" s="201">
        <v>0</v>
      </c>
      <c r="L47" s="185" t="s">
        <v>5</v>
      </c>
      <c r="M47" s="398" t="s">
        <v>283</v>
      </c>
    </row>
    <row r="48" spans="1:27" ht="12" customHeight="1" thickTop="1" thickBot="1">
      <c r="A48" s="390">
        <f>COUNTBLANK(A3:A47)+A49</f>
        <v>0</v>
      </c>
      <c r="B48" s="193" t="str">
        <f>+EÜR!C56</f>
        <v>ü</v>
      </c>
      <c r="C48" s="194" t="s">
        <v>5</v>
      </c>
      <c r="D48" s="194" t="s">
        <v>5</v>
      </c>
      <c r="E48" s="195" t="s">
        <v>5</v>
      </c>
      <c r="F48" s="196" t="s">
        <v>5</v>
      </c>
      <c r="G48" s="197">
        <f>SUBTOTAL(9,G3:G47)</f>
        <v>0</v>
      </c>
      <c r="H48" s="1242">
        <f>SUBTOTAL(9,I3:I47)</f>
        <v>0</v>
      </c>
      <c r="I48" s="1243">
        <f>SUBTOTAL(9,I3:I47)</f>
        <v>0</v>
      </c>
      <c r="J48" s="1307">
        <f>G48-H48</f>
        <v>0</v>
      </c>
      <c r="K48" s="1308"/>
      <c r="L48" s="1309"/>
      <c r="M48" s="135" t="s">
        <v>5</v>
      </c>
    </row>
    <row r="49" spans="1:14" ht="12" customHeight="1" thickTop="1" thickBot="1">
      <c r="A49" s="390">
        <f>IF(ISERROR(J47),1,0)</f>
        <v>0</v>
      </c>
      <c r="B49" s="192">
        <f>J48-G49-E49-C49</f>
        <v>0</v>
      </c>
      <c r="C49" s="1239">
        <f>SUMIF(F4:F47,"Kreditkarte",G4:G47)</f>
        <v>0</v>
      </c>
      <c r="D49" s="1239"/>
      <c r="E49" s="1240">
        <f>SUMIF(F4:F47,"Konto",G4:G47)</f>
        <v>0</v>
      </c>
      <c r="F49" s="1240"/>
      <c r="G49" s="1241">
        <f>SUMIF(F4:F47,"Geldbeutel",G4:G47)</f>
        <v>0</v>
      </c>
      <c r="H49" s="1241"/>
      <c r="I49" s="1241"/>
      <c r="J49" s="1310"/>
      <c r="K49" s="1311"/>
      <c r="L49" s="1312"/>
      <c r="M49" s="135" t="s">
        <v>5</v>
      </c>
    </row>
    <row r="50" spans="1:14" s="15" customFormat="1" ht="5.25" customHeight="1" thickTop="1">
      <c r="A50" s="36"/>
      <c r="B50" s="2"/>
      <c r="C50" s="3"/>
      <c r="D50" s="3"/>
      <c r="E50" s="1"/>
      <c r="G50" s="16"/>
      <c r="H50" s="16"/>
      <c r="I50" s="17"/>
      <c r="J50" s="18"/>
      <c r="K50" s="18"/>
      <c r="L50" s="31"/>
      <c r="N50" s="148"/>
    </row>
    <row r="51" spans="1:14">
      <c r="A51" s="36"/>
    </row>
  </sheetData>
  <sheetProtection formatCells="0" insertRows="0" deleteRows="0" selectLockedCells="1" sort="0" autoFilter="0"/>
  <mergeCells count="18">
    <mergeCell ref="C2:I2"/>
    <mergeCell ref="J2:L2"/>
    <mergeCell ref="AA9:AB9"/>
    <mergeCell ref="O10:Z10"/>
    <mergeCell ref="O11:Z11"/>
    <mergeCell ref="AA4:AB4"/>
    <mergeCell ref="AA13:AB13"/>
    <mergeCell ref="O14:Z14"/>
    <mergeCell ref="AA14:AB14"/>
    <mergeCell ref="AA17:AB17"/>
    <mergeCell ref="O18:Z18"/>
    <mergeCell ref="AA18:AB18"/>
    <mergeCell ref="B47:C47"/>
    <mergeCell ref="J48:L49"/>
    <mergeCell ref="C49:D49"/>
    <mergeCell ref="E49:F49"/>
    <mergeCell ref="G49:I49"/>
    <mergeCell ref="H48:I48"/>
  </mergeCells>
  <conditionalFormatting sqref="A4:A46">
    <cfRule type="expression" dxfId="215" priority="25">
      <formula>ISERROR(J4)</formula>
    </cfRule>
    <cfRule type="cellIs" dxfId="214" priority="26" operator="equal">
      <formula>""</formula>
    </cfRule>
  </conditionalFormatting>
  <conditionalFormatting sqref="A47:C47">
    <cfRule type="expression" dxfId="213" priority="6">
      <formula>$A$48&lt;&gt;0</formula>
    </cfRule>
  </conditionalFormatting>
  <conditionalFormatting sqref="B2">
    <cfRule type="expression" dxfId="212" priority="52" stopIfTrue="1">
      <formula>$B$48="x"</formula>
    </cfRule>
  </conditionalFormatting>
  <conditionalFormatting sqref="B4:B46">
    <cfRule type="cellIs" dxfId="209" priority="39" operator="equal">
      <formula>""</formula>
    </cfRule>
  </conditionalFormatting>
  <conditionalFormatting sqref="B48">
    <cfRule type="cellIs" dxfId="208" priority="75" operator="equal">
      <formula>"y"</formula>
    </cfRule>
  </conditionalFormatting>
  <conditionalFormatting sqref="B3:J3">
    <cfRule type="expression" dxfId="207" priority="8761">
      <formula>$B$48="x"</formula>
    </cfRule>
  </conditionalFormatting>
  <conditionalFormatting sqref="B4:J46">
    <cfRule type="expression" dxfId="206" priority="35">
      <formula>$B$1="x"</formula>
    </cfRule>
  </conditionalFormatting>
  <conditionalFormatting sqref="B3:L3">
    <cfRule type="expression" dxfId="205" priority="69">
      <formula>$B$48="x"</formula>
    </cfRule>
  </conditionalFormatting>
  <conditionalFormatting sqref="C4:D46">
    <cfRule type="expression" dxfId="204" priority="42">
      <formula>AND($B4&lt;&gt;"",$C4="")</formula>
    </cfRule>
  </conditionalFormatting>
  <conditionalFormatting sqref="C49:I49">
    <cfRule type="cellIs" dxfId="203" priority="72" stopIfTrue="1" operator="greaterThanOrEqual">
      <formula>0</formula>
    </cfRule>
    <cfRule type="cellIs" dxfId="202" priority="74" stopIfTrue="1" operator="lessThan">
      <formula>0</formula>
    </cfRule>
  </conditionalFormatting>
  <conditionalFormatting sqref="D47:J47">
    <cfRule type="expression" dxfId="201" priority="8">
      <formula>$A$48&lt;&gt;0</formula>
    </cfRule>
  </conditionalFormatting>
  <conditionalFormatting sqref="H4:H46">
    <cfRule type="expression" dxfId="200" priority="38">
      <formula>AND(G4&lt;&gt;"",H4="",$I$1&lt;&gt;"x")</formula>
    </cfRule>
  </conditionalFormatting>
  <conditionalFormatting sqref="H4:I46">
    <cfRule type="expression" dxfId="199" priority="36">
      <formula>AND($I4&lt;&gt;0,$I$1&lt;&gt;"ü")</formula>
    </cfRule>
    <cfRule type="expression" dxfId="198" priority="37">
      <formula>$I$1&lt;&gt;"ü"</formula>
    </cfRule>
  </conditionalFormatting>
  <conditionalFormatting sqref="J48:L48 C49:L49 C48:H48">
    <cfRule type="expression" dxfId="196" priority="71">
      <formula>$B$48="x"</formula>
    </cfRule>
  </conditionalFormatting>
  <conditionalFormatting sqref="J48:L49">
    <cfRule type="expression" dxfId="195" priority="70">
      <formula>AND($B$48="x",$J$48&lt;&gt;0)</formula>
    </cfRule>
  </conditionalFormatting>
  <conditionalFormatting sqref="K4:L46">
    <cfRule type="expression" dxfId="194" priority="14853">
      <formula>$B$48="x"</formula>
    </cfRule>
  </conditionalFormatting>
  <conditionalFormatting sqref="M3">
    <cfRule type="cellIs" dxfId="193" priority="34" operator="equal">
      <formula>""</formula>
    </cfRule>
  </conditionalFormatting>
  <conditionalFormatting sqref="M4:M46">
    <cfRule type="expression" dxfId="192" priority="32">
      <formula>ISERROR(J4)</formula>
    </cfRule>
    <cfRule type="cellIs" dxfId="191" priority="33" operator="equal">
      <formula>""</formula>
    </cfRule>
  </conditionalFormatting>
  <conditionalFormatting sqref="M47">
    <cfRule type="expression" dxfId="190" priority="7">
      <formula>$A$48&lt;&gt;0</formula>
    </cfRule>
  </conditionalFormatting>
  <conditionalFormatting sqref="M47:M49">
    <cfRule type="cellIs" dxfId="189" priority="9" operator="equal">
      <formula>""</formula>
    </cfRule>
  </conditionalFormatting>
  <conditionalFormatting sqref="N10:AB10">
    <cfRule type="expression" dxfId="188" priority="3">
      <formula>$N$2=0</formula>
    </cfRule>
  </conditionalFormatting>
  <conditionalFormatting sqref="O11:Z11">
    <cfRule type="cellIs" dxfId="187" priority="56" operator="equal">
      <formula>"Fehler!"</formula>
    </cfRule>
  </conditionalFormatting>
  <conditionalFormatting sqref="O4:AA4">
    <cfRule type="expression" dxfId="183" priority="51">
      <formula>$N$2=0</formula>
    </cfRule>
  </conditionalFormatting>
  <conditionalFormatting sqref="O2:AB3">
    <cfRule type="expression" dxfId="181" priority="2">
      <formula>$N$2=0</formula>
    </cfRule>
  </conditionalFormatting>
  <conditionalFormatting sqref="O5:AB8 O9:AA9">
    <cfRule type="expression" dxfId="180" priority="55">
      <formula>$N$2=0</formula>
    </cfRule>
  </conditionalFormatting>
  <conditionalFormatting sqref="O11:AB49">
    <cfRule type="expression" dxfId="179" priority="1">
      <formula>$N$2=0</formula>
    </cfRule>
  </conditionalFormatting>
  <dataValidations count="2">
    <dataValidation type="list" allowBlank="1" showInputMessage="1" showErrorMessage="1" sqref="H4:H46" xr:uid="{7A31491F-21E9-490B-8BF6-167AC6748F11}">
      <formula1>"19,7,0,~"</formula1>
    </dataValidation>
    <dataValidation type="list" allowBlank="1" showInputMessage="1" showErrorMessage="1" sqref="F4:F46" xr:uid="{82517E89-85F6-4A22-BBEE-27619DAD7DB6}">
      <formula1>"Konto,Geldbeutel,Kreditkarte,x"</formula1>
    </dataValidation>
  </dataValidations>
  <hyperlinks>
    <hyperlink ref="J2" location="'2022 EÜR'!A1" display="Menü" xr:uid="{B1AC85EE-B33B-493D-A3B5-10C25D7FA863}"/>
    <hyperlink ref="J2:L2" location="EÜR!A1" display="EÜR" xr:uid="{3B7853CC-62AE-4F86-A276-2A77F08DE4EF}"/>
  </hyperlinks>
  <printOptions horizontalCentered="1"/>
  <pageMargins left="0" right="0" top="0" bottom="0.31496062992125984" header="0" footer="0"/>
  <pageSetup paperSize="9" orientation="portrait" r:id="rId1"/>
  <headerFooter>
    <oddFooter>&amp;L&amp;"Arial,Standard"&amp;8Datei: &amp;Z&amp;F/&amp;A&amp;C&amp;"Arial,Standard"&amp;8Seite &amp;P von &amp;N&amp;R&amp;"Arial,Standard"&amp;8Druck: &amp;D&amp;T Uhr</oddFooter>
  </headerFooter>
  <extLst>
    <ext xmlns:x14="http://schemas.microsoft.com/office/spreadsheetml/2009/9/main" uri="{78C0D931-6437-407d-A8EE-F0AAD7539E65}">
      <x14:conditionalFormattings>
        <x14:conditionalFormatting xmlns:xm="http://schemas.microsoft.com/office/excel/2006/main">
          <x14:cfRule type="cellIs" priority="40" operator="greaterThan" id="{A202AC4A-11D0-48E5-9589-6EB134AD0CC6}">
            <xm:f>EÜR!$I$78</xm:f>
            <x14:dxf>
              <font>
                <b/>
                <i val="0"/>
                <color rgb="FFFFFF00"/>
              </font>
              <fill>
                <patternFill>
                  <bgColor rgb="FFC00000"/>
                </patternFill>
              </fill>
            </x14:dxf>
          </x14:cfRule>
          <x14:cfRule type="cellIs" priority="41" operator="lessThan" id="{614D1F7E-C687-4201-8A2D-95892300F55D}">
            <xm:f>EÜR!$I$77</xm:f>
            <x14:dxf>
              <font>
                <b/>
                <i val="0"/>
                <color rgb="FFFFFF00"/>
              </font>
              <fill>
                <patternFill>
                  <bgColor rgb="FFC00000"/>
                </patternFill>
              </fill>
            </x14:dxf>
          </x14:cfRule>
          <xm:sqref>B4:B46</xm:sqref>
        </x14:conditionalFormatting>
        <x14:conditionalFormatting xmlns:xm="http://schemas.microsoft.com/office/excel/2006/main">
          <x14:cfRule type="expression" priority="53" id="{DC80C879-59DE-4FA9-AEDD-1DE5670A59C9}">
            <xm:f>AND(EÜR!$J$66&lt;&gt;"ü",$H$48&lt;&gt;0)</xm:f>
            <x14:dxf>
              <font>
                <b/>
                <i val="0"/>
                <color rgb="FFFFFF00"/>
              </font>
              <fill>
                <patternFill>
                  <bgColor rgb="FFFF0000"/>
                </patternFill>
              </fill>
            </x14:dxf>
          </x14:cfRule>
          <xm:sqref>H48:I48</xm:sqref>
        </x14:conditionalFormatting>
        <x14:conditionalFormatting xmlns:xm="http://schemas.microsoft.com/office/excel/2006/main">
          <x14:cfRule type="expression" priority="57" id="{39AF4426-CB99-4180-9BCE-8952380AABC6}">
            <xm:f>AND(O13&lt;&gt;0,U!L36="!",U!L37="!")</xm:f>
            <x14:dxf>
              <font>
                <b/>
                <i val="0"/>
                <color rgb="FFFF0000"/>
              </font>
              <fill>
                <patternFill>
                  <bgColor rgb="FFFFCCCC"/>
                </patternFill>
              </fill>
            </x14:dxf>
          </x14:cfRule>
          <x14:cfRule type="expression" priority="58" id="{B4BEC9F4-CEAA-4222-AF51-F661B0EF6455}">
            <xm:f>U!L37&lt;&gt;"!"</xm:f>
            <x14:dxf>
              <font>
                <b/>
                <i val="0"/>
                <color rgb="FF006666"/>
              </font>
              <fill>
                <patternFill>
                  <bgColor theme="6" tint="0.39994506668294322"/>
                </patternFill>
              </fill>
            </x14:dxf>
          </x14:cfRule>
          <x14:cfRule type="expression" priority="59" id="{A1FD4D10-E2A6-497A-8685-5682DFFEA148}">
            <xm:f>U!L36&lt;&gt;"!"</xm:f>
            <x14:dxf>
              <font>
                <b/>
                <i val="0"/>
                <color theme="9" tint="-0.499984740745262"/>
              </font>
              <fill>
                <patternFill>
                  <bgColor rgb="FFFFFF99"/>
                </patternFill>
              </fill>
            </x14:dxf>
          </x14:cfRule>
          <xm:sqref>O13:Z13</xm:sqref>
        </x14:conditionalFormatting>
        <x14:conditionalFormatting xmlns:xm="http://schemas.microsoft.com/office/excel/2006/main">
          <x14:cfRule type="expression" priority="4" id="{D45866EE-CAF5-46C1-91CD-75FCA877803F}">
            <xm:f>EÜR!$J$66="-"</xm:f>
            <x14:dxf>
              <font>
                <b/>
                <i val="0"/>
                <color theme="0"/>
              </font>
              <fill>
                <patternFill>
                  <bgColor theme="0"/>
                </patternFill>
              </fill>
              <border>
                <left/>
                <right/>
                <top/>
                <bottom/>
              </border>
            </x14:dxf>
          </x14:cfRule>
          <xm:sqref>O12:AA21</xm:sqref>
        </x14:conditionalFormatting>
      </x14:conditionalFormattings>
    </ext>
  </extLst>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4F63AB-7925-4573-B4B8-EBEBF6F9DA43}">
  <sheetPr codeName="Tabelle42">
    <tabColor theme="8" tint="-0.249977111117893"/>
    <pageSetUpPr autoPageBreaks="0"/>
  </sheetPr>
  <dimension ref="A1:AD69"/>
  <sheetViews>
    <sheetView showGridLines="0" showRowColHeaders="0" zoomScaleNormal="100" workbookViewId="0">
      <pane ySplit="3" topLeftCell="A4" activePane="bottomLeft" state="frozen"/>
      <selection activeCell="F45" sqref="F45"/>
      <selection pane="bottomLeft" activeCell="A4" sqref="A4"/>
    </sheetView>
  </sheetViews>
  <sheetFormatPr baseColWidth="10" defaultColWidth="9.77734375" defaultRowHeight="12.75"/>
  <cols>
    <col min="1" max="1" width="0.77734375" style="37" customWidth="1"/>
    <col min="2" max="2" width="7.6640625" style="30" customWidth="1"/>
    <col min="3" max="3" width="9.6640625" style="24" customWidth="1"/>
    <col min="4" max="5" width="9.77734375" style="24" customWidth="1"/>
    <col min="6" max="6" width="6.6640625" style="49" customWidth="1"/>
    <col min="7" max="7" width="9.6640625" style="26" customWidth="1"/>
    <col min="8" max="8" width="9.44140625" style="27" customWidth="1"/>
    <col min="9" max="9" width="9.44140625" style="29" customWidth="1"/>
    <col min="10" max="10" width="9.6640625" style="27" customWidth="1"/>
    <col min="11" max="12" width="2.109375" style="225" hidden="1" customWidth="1"/>
    <col min="13" max="13" width="1.5546875" style="96" hidden="1" customWidth="1"/>
    <col min="14" max="15" width="1.21875" style="103" customWidth="1"/>
    <col min="16" max="16" width="0.6640625" style="757" customWidth="1"/>
    <col min="17" max="28" width="8.77734375" style="13" customWidth="1"/>
    <col min="29" max="29" width="10.33203125" style="13" customWidth="1"/>
    <col min="30" max="30" width="8.33203125" style="13" customWidth="1"/>
    <col min="31" max="16384" width="9.77734375" style="13"/>
  </cols>
  <sheetData>
    <row r="1" spans="1:30" s="35" customFormat="1" ht="3" customHeight="1" thickBot="1">
      <c r="A1" s="36"/>
      <c r="B1" s="53"/>
      <c r="C1" s="54"/>
      <c r="D1" s="54"/>
      <c r="E1" s="54"/>
      <c r="F1" s="57"/>
      <c r="G1" s="53"/>
      <c r="H1" s="54"/>
      <c r="I1" s="55"/>
      <c r="J1" s="54"/>
      <c r="K1" s="433"/>
      <c r="L1" s="433"/>
      <c r="M1" s="434"/>
      <c r="N1" s="103"/>
      <c r="O1" s="103"/>
      <c r="P1" s="757"/>
      <c r="Q1" s="38"/>
      <c r="R1" s="38"/>
      <c r="S1" s="38"/>
      <c r="T1" s="38"/>
      <c r="U1" s="38"/>
      <c r="V1" s="38"/>
      <c r="W1" s="38"/>
      <c r="X1" s="38"/>
      <c r="Y1" s="38"/>
      <c r="Z1" s="38"/>
      <c r="AA1" s="38"/>
    </row>
    <row r="2" spans="1:30" ht="23.1" customHeight="1" thickTop="1" thickBot="1">
      <c r="B2" s="95" t="s">
        <v>275</v>
      </c>
      <c r="C2" s="1368" t="s">
        <v>256</v>
      </c>
      <c r="D2" s="1369"/>
      <c r="E2" s="1369"/>
      <c r="F2" s="1369"/>
      <c r="G2" s="1369"/>
      <c r="H2" s="1369"/>
      <c r="I2" s="1370"/>
      <c r="J2" s="180" t="s">
        <v>8</v>
      </c>
      <c r="M2" s="409">
        <v>1</v>
      </c>
      <c r="N2" s="418"/>
      <c r="O2" s="418"/>
      <c r="P2" s="758">
        <v>1</v>
      </c>
      <c r="Q2" s="188">
        <f>+EOMONTH(EÜR!$I$3,-1)+1</f>
        <v>46023</v>
      </c>
      <c r="R2" s="188">
        <f t="shared" ref="R2:AB2" si="0">+Q3+1</f>
        <v>46054</v>
      </c>
      <c r="S2" s="188">
        <f t="shared" si="0"/>
        <v>46082</v>
      </c>
      <c r="T2" s="188">
        <f t="shared" si="0"/>
        <v>46113</v>
      </c>
      <c r="U2" s="188">
        <f t="shared" si="0"/>
        <v>46143</v>
      </c>
      <c r="V2" s="188">
        <f t="shared" si="0"/>
        <v>46174</v>
      </c>
      <c r="W2" s="188">
        <f t="shared" si="0"/>
        <v>46204</v>
      </c>
      <c r="X2" s="188">
        <f t="shared" si="0"/>
        <v>46235</v>
      </c>
      <c r="Y2" s="188">
        <f t="shared" si="0"/>
        <v>46266</v>
      </c>
      <c r="Z2" s="188">
        <f t="shared" si="0"/>
        <v>46296</v>
      </c>
      <c r="AA2" s="188">
        <f t="shared" si="0"/>
        <v>46327</v>
      </c>
      <c r="AB2" s="188">
        <f t="shared" si="0"/>
        <v>46357</v>
      </c>
      <c r="AC2" s="1329" t="s">
        <v>203</v>
      </c>
      <c r="AD2" s="1329"/>
    </row>
    <row r="3" spans="1:30" ht="14.25" customHeight="1" thickTop="1">
      <c r="A3" s="72" t="s">
        <v>5</v>
      </c>
      <c r="B3" s="86" t="s">
        <v>1</v>
      </c>
      <c r="C3" s="87" t="s">
        <v>6</v>
      </c>
      <c r="D3" s="88"/>
      <c r="E3" s="88"/>
      <c r="F3" s="311" t="s">
        <v>7</v>
      </c>
      <c r="G3" s="61" t="s">
        <v>4</v>
      </c>
      <c r="H3" s="91" t="s">
        <v>277</v>
      </c>
      <c r="I3" s="90" t="s">
        <v>278</v>
      </c>
      <c r="J3" s="363" t="s">
        <v>155</v>
      </c>
      <c r="M3" s="409">
        <v>1</v>
      </c>
      <c r="N3" s="103" t="s">
        <v>5</v>
      </c>
      <c r="O3" s="418"/>
      <c r="P3" s="756">
        <f>IF(SUBTOTAL(109,M3:M68)&lt;&gt;SUM(M3:M68),1,0)</f>
        <v>0</v>
      </c>
      <c r="Q3" s="189">
        <f>EOMONTH(Q2,0)</f>
        <v>46053</v>
      </c>
      <c r="R3" s="189">
        <f t="shared" ref="R3:AB3" si="1">EOMONTH(R2,0)</f>
        <v>46081</v>
      </c>
      <c r="S3" s="189">
        <f t="shared" si="1"/>
        <v>46112</v>
      </c>
      <c r="T3" s="189">
        <f t="shared" si="1"/>
        <v>46142</v>
      </c>
      <c r="U3" s="189">
        <f t="shared" si="1"/>
        <v>46173</v>
      </c>
      <c r="V3" s="189">
        <f t="shared" si="1"/>
        <v>46203</v>
      </c>
      <c r="W3" s="189">
        <f t="shared" si="1"/>
        <v>46234</v>
      </c>
      <c r="X3" s="189">
        <f t="shared" si="1"/>
        <v>46265</v>
      </c>
      <c r="Y3" s="189">
        <f t="shared" si="1"/>
        <v>46295</v>
      </c>
      <c r="Z3" s="189">
        <f t="shared" si="1"/>
        <v>46326</v>
      </c>
      <c r="AA3" s="189">
        <f t="shared" si="1"/>
        <v>46356</v>
      </c>
      <c r="AB3" s="189">
        <f t="shared" si="1"/>
        <v>46387</v>
      </c>
      <c r="AC3" s="96"/>
      <c r="AD3" s="227"/>
    </row>
    <row r="4" spans="1:30" ht="13.35" customHeight="1">
      <c r="A4" s="72" t="s">
        <v>5</v>
      </c>
      <c r="B4" s="141"/>
      <c r="C4" s="962"/>
      <c r="D4" s="963"/>
      <c r="E4" s="964"/>
      <c r="F4" s="291"/>
      <c r="G4" s="965"/>
      <c r="H4" s="966"/>
      <c r="I4" s="967"/>
      <c r="J4" s="346">
        <f>IF(B4&gt;0,H4+I4,0)</f>
        <v>0</v>
      </c>
      <c r="K4" s="298">
        <f t="shared" ref="K4:K34" si="2">IF(B4&lt;$Q$2,0,IF(B4&lt;$R$2,1,IF(B4&lt;$S$2,2,IF(B4&lt;$T$2,3,IF(B4&lt;$U$2,4,IF(B4&lt;$V$2,5,IF(B4&lt;$W$2,6,IF(B4&lt;$X$2,7,IF(B4&lt;$Y$2,8,IF(B4&lt;$Z$2,9,IF(B4&lt;$AA$2,10,IF(B4&lt;$AB$2,11,IF(B4&lt;=$AB$3,12,0)))))))))))))</f>
        <v>0</v>
      </c>
      <c r="L4" s="432"/>
      <c r="M4" s="409">
        <f>+K4</f>
        <v>0</v>
      </c>
      <c r="N4" s="403" t="s">
        <v>5</v>
      </c>
      <c r="O4" s="1392" t="s">
        <v>291</v>
      </c>
      <c r="P4" s="759">
        <f>IF(P10+P49+P57&lt;&gt;0,1,0)</f>
        <v>0</v>
      </c>
      <c r="Q4" s="251" t="s">
        <v>36</v>
      </c>
      <c r="R4" s="251" t="s">
        <v>37</v>
      </c>
      <c r="S4" s="251" t="s">
        <v>38</v>
      </c>
      <c r="T4" s="251" t="s">
        <v>39</v>
      </c>
      <c r="U4" s="251" t="s">
        <v>40</v>
      </c>
      <c r="V4" s="251" t="s">
        <v>41</v>
      </c>
      <c r="W4" s="251" t="s">
        <v>42</v>
      </c>
      <c r="X4" s="251" t="s">
        <v>43</v>
      </c>
      <c r="Y4" s="251" t="s">
        <v>44</v>
      </c>
      <c r="Z4" s="251" t="s">
        <v>45</v>
      </c>
      <c r="AA4" s="251" t="s">
        <v>46</v>
      </c>
      <c r="AB4" s="251" t="s">
        <v>47</v>
      </c>
      <c r="AC4" s="1209" t="s">
        <v>255</v>
      </c>
      <c r="AD4" s="1210"/>
    </row>
    <row r="5" spans="1:30" ht="13.35" customHeight="1">
      <c r="A5" s="72" t="s">
        <v>5</v>
      </c>
      <c r="B5" s="141"/>
      <c r="C5" s="962"/>
      <c r="D5" s="963"/>
      <c r="E5" s="964"/>
      <c r="F5" s="291"/>
      <c r="G5" s="965"/>
      <c r="H5" s="966"/>
      <c r="I5" s="967"/>
      <c r="J5" s="347">
        <f>IF(B5&gt;0,H5+I5+J4,+J4)</f>
        <v>0</v>
      </c>
      <c r="K5" s="298">
        <f t="shared" si="2"/>
        <v>0</v>
      </c>
      <c r="L5" s="432"/>
      <c r="M5" s="409">
        <f t="shared" ref="M5:M15" si="3">+K5</f>
        <v>0</v>
      </c>
      <c r="N5" s="403" t="s">
        <v>5</v>
      </c>
      <c r="O5" s="1347"/>
      <c r="P5" s="760"/>
      <c r="Q5" s="252">
        <f>SUMIFS($H$3:$H$39,$K$3:$K$39,1,$G$3:$G$39,"Konto")+SUMIFS($I$3:$I$39,$K$3:$K$39,1,$G$3:$G$39,"Konto")</f>
        <v>0</v>
      </c>
      <c r="R5" s="252">
        <f>SUMIFS($H$3:$H$39,$K$3:$K$39,2,$G$3:$G$39,"Konto")+SUMIFS($I$3:$I$39,$K$3:$K$39,2,$G$3:$G$39,"Konto")</f>
        <v>0</v>
      </c>
      <c r="S5" s="252">
        <f>SUMIFS($H$3:$H$39,$K$3:$K$39,3,$G$3:$G$39,"Konto")+SUMIFS($I$3:$I$39,$K$3:$K$39,3,$G$3:$G$39,"Konto")</f>
        <v>0</v>
      </c>
      <c r="T5" s="252">
        <f>SUMIFS($H$3:$H$39,$K$3:$K$39,4,$G$3:$G$39,"Konto")+SUMIFS($I$3:$I$39,$K$3:$K$39,4,$G$3:$G$39,"Konto")</f>
        <v>0</v>
      </c>
      <c r="U5" s="252">
        <f>SUMIFS($H$3:$H$39,$K$3:$K$39,5,$G$3:$G$39,"Konto")+SUMIFS($I$3:$I$39,$K$3:$K$39,5,$G$3:$G$39,"Konto")</f>
        <v>0</v>
      </c>
      <c r="V5" s="252">
        <f>SUMIFS($H$3:$H$39,$K$3:$K$39,6,$G$3:$G$39,"Konto")+SUMIFS($I$3:$I$39,$K$3:$K$39,6,$G$3:$G$39,"Konto")</f>
        <v>0</v>
      </c>
      <c r="W5" s="252">
        <f>SUMIFS($H$3:$H$39,$K$3:$K$39,7,$G$3:$G$39,"Konto")+SUMIFS($I$3:$I$39,$K$3:$K$39,7,$G$3:$G$39,"Konto")</f>
        <v>0</v>
      </c>
      <c r="X5" s="252">
        <f>SUMIFS($H$3:$H$39,$K$3:$K$39,8,$G$3:$G$39,"Konto")+SUMIFS($I$3:$I$39,$K$3:$K$39,8,$G$3:$G$39,"Konto")</f>
        <v>0</v>
      </c>
      <c r="Y5" s="252">
        <f>SUMIFS($H$3:$H$39,$K$3:$K$39,9,$G$3:$G$39,"Konto")+SUMIFS($I$3:$I$39,$K$3:$K$39,9,$G$3:$G$39,"Konto")</f>
        <v>0</v>
      </c>
      <c r="Z5" s="252">
        <f>SUMIFS($H$3:$H$39,$K$3:$K$39,10,$G$3:$G$39,"Konto")+SUMIFS($I$3:$I$39,$K$3:$K$39,10,$G$3:$G$39,"Konto")</f>
        <v>0</v>
      </c>
      <c r="AA5" s="252">
        <f>SUMIFS($H$3:$H$39,$K$3:$K$39,11,$G$3:$G$39,"Konto")+SUMIFS($I$3:$I$39,$K$3:$K$39,11,$G$3:$G$39,"Konto")</f>
        <v>0</v>
      </c>
      <c r="AB5" s="252">
        <f>SUMIFS($H$3:$H$39,$K$3:$K$39,12,$G$3:$G$39,"Konto")+SUMIFS($I$3:$I$39,$K$3:$K$39,12,$G$3:$G$39,"Konto")</f>
        <v>0</v>
      </c>
      <c r="AC5" s="253">
        <f>SUM(Q5:AB5)</f>
        <v>0</v>
      </c>
      <c r="AD5" s="254" t="s">
        <v>140</v>
      </c>
    </row>
    <row r="6" spans="1:30" ht="13.35" customHeight="1">
      <c r="A6" s="72" t="s">
        <v>5</v>
      </c>
      <c r="B6" s="141"/>
      <c r="C6" s="962"/>
      <c r="D6" s="963"/>
      <c r="E6" s="964"/>
      <c r="F6" s="291"/>
      <c r="G6" s="965"/>
      <c r="H6" s="966"/>
      <c r="I6" s="967"/>
      <c r="J6" s="347">
        <f t="shared" ref="J6:J15" si="4">IF(B6&gt;0,H6+I6+J5,+J5)</f>
        <v>0</v>
      </c>
      <c r="K6" s="298">
        <f t="shared" si="2"/>
        <v>0</v>
      </c>
      <c r="L6" s="432"/>
      <c r="M6" s="409">
        <f t="shared" si="3"/>
        <v>0</v>
      </c>
      <c r="N6" s="403" t="s">
        <v>5</v>
      </c>
      <c r="O6" s="1347"/>
      <c r="P6" s="760"/>
      <c r="Q6" s="252">
        <f>SUMIFS($H$3:$H$39,$K$3:$K$39,1,$G$3:$G$39,"Kreditkarte")+SUMIFS($I$3:$I$39,$K$3:$K$39,1,$G$3:$G$39,"Kreditkarte")</f>
        <v>0</v>
      </c>
      <c r="R6" s="252">
        <f>SUMIFS($H$3:$H$39,$K$3:$K$39,2,$G$3:$G$39,"Kreditkarte")+SUMIFS($I$3:$I$39,$K$3:$K$39,2,$G$3:$G$39,"Kreditkarte")</f>
        <v>0</v>
      </c>
      <c r="S6" s="252">
        <f>SUMIFS($H$3:$H$39,$K$3:$K$39,3,$G$3:$G$39,"Kreditkarte")+SUMIFS($I$3:$I$39,$K$3:$K$39,3,$G$3:$G$39,"Kreditkarte")</f>
        <v>0</v>
      </c>
      <c r="T6" s="252">
        <f>SUMIFS($H$3:$H$39,$K$3:$K$39,4,$G$3:$G$39,"Kreditkarte")+SUMIFS($I$3:$I$39,$K$3:$K$39,4,$G$3:$G$39,"Kreditkarte")</f>
        <v>0</v>
      </c>
      <c r="U6" s="252">
        <f>SUMIFS($H$3:$H$39,$K$3:$K$39,5,$G$3:$G$39,"Kreditkarte")+SUMIFS($I$3:$I$39,$K$3:$K$39,5,$G$3:$G$39,"Kreditkarte")</f>
        <v>0</v>
      </c>
      <c r="V6" s="252">
        <f>SUMIFS($H$3:$H$39,$K$3:$K$39,6,$G$3:$G$39,"Kreditkarte")+SUMIFS($I$3:$I$39,$K$3:$K$39,6,$G$3:$G$39,"Kreditkarte")</f>
        <v>0</v>
      </c>
      <c r="W6" s="252">
        <f>SUMIFS($H$3:$H$39,$K$3:$K$39,7,$G$3:$G$39,"Kreditkarte")+SUMIFS($I$3:$I$39,$K$3:$K$39,7,$G$3:$G$39,"Kreditkarte")</f>
        <v>0</v>
      </c>
      <c r="X6" s="252">
        <f>SUMIFS($H$3:$H$39,$K$3:$K$39,8,$G$3:$G$39,"Kreditkarte")+SUMIFS($I$3:$I$39,$K$3:$K$39,8,$G$3:$G$39,"Kreditkarte")</f>
        <v>0</v>
      </c>
      <c r="Y6" s="252">
        <f>SUMIFS($H$3:$H$39,$K$3:$K$39,9,$G$3:$G$39,"Kreditkarte")+SUMIFS($I$3:$I$39,$K$3:$K$39,9,$G$3:$G$39,"Kreditkarte")</f>
        <v>0</v>
      </c>
      <c r="Z6" s="252">
        <f>SUMIFS($H$3:$H$39,$K$3:$K$39,10,$G$3:$G$39,"Kreditkarte")+SUMIFS($I$3:$I$39,$K$3:$K$39,10,$G$3:$G$39,"Kreditkarte")</f>
        <v>0</v>
      </c>
      <c r="AA6" s="252">
        <f>SUMIFS($H$3:$H$39,$K$3:$K$39,11,$G$3:$G$39,"Kreditkarte")+SUMIFS($I$3:$I$39,$K$3:$K$39,11,$G$3:$G$39,"Kreditkarte")</f>
        <v>0</v>
      </c>
      <c r="AB6" s="252">
        <f>SUMIFS($H$3:$H$39,$K$3:$K$39,12,$G$3:$G$39,"Kreditkarte")+SUMIFS($I$3:$I$39,$K$3:$K$39,12,$G$3:$G$39,"Kreditkarte")</f>
        <v>0</v>
      </c>
      <c r="AC6" s="255">
        <f>SUM(Q6:AB6)</f>
        <v>0</v>
      </c>
      <c r="AD6" s="256" t="s">
        <v>142</v>
      </c>
    </row>
    <row r="7" spans="1:30" ht="13.35" customHeight="1">
      <c r="A7" s="72" t="s">
        <v>5</v>
      </c>
      <c r="B7" s="141"/>
      <c r="C7" s="962"/>
      <c r="D7" s="963"/>
      <c r="E7" s="964"/>
      <c r="F7" s="291"/>
      <c r="G7" s="965"/>
      <c r="H7" s="966"/>
      <c r="I7" s="967"/>
      <c r="J7" s="347">
        <f t="shared" si="4"/>
        <v>0</v>
      </c>
      <c r="K7" s="298">
        <f t="shared" si="2"/>
        <v>0</v>
      </c>
      <c r="L7" s="432"/>
      <c r="M7" s="409">
        <f t="shared" si="3"/>
        <v>0</v>
      </c>
      <c r="N7" s="403" t="s">
        <v>5</v>
      </c>
      <c r="O7" s="1347"/>
      <c r="P7" s="760"/>
      <c r="Q7" s="252">
        <f>SUMIFS($H$3:$H$39,$K$3:$K$39,1,$G$3:$G$39,"Geldbeutel")+SUMIFS($I$3:$I$39,$K$3:$K$39,1,$G$3:$G$39,"Geldbeutel")</f>
        <v>0</v>
      </c>
      <c r="R7" s="252">
        <f>SUMIFS($H$3:$H$39,$K$3:$K$39,2,$G$3:$G$39,"Geldbeutel")+SUMIFS($I$3:$I$39,$K$3:$K$39,2,$G$3:$G$39,"Geldbeutel")</f>
        <v>0</v>
      </c>
      <c r="S7" s="252">
        <f>SUMIFS($H$3:$H$39,$K$3:$K$39,3,$G$3:$G$39,"Geldbeutel")+SUMIFS($I$3:$I$39,$K$3:$K$39,3,$G$3:$G$39,"Geldbeutel")</f>
        <v>0</v>
      </c>
      <c r="T7" s="252">
        <f>SUMIFS($H$3:$H$39,$K$3:$K$39,4,$G$3:$G$39,"Geldbeutel")+SUMIFS($I$3:$I$39,$K$3:$K$39,4,$G$3:$G$39,"Geldbeutel")</f>
        <v>0</v>
      </c>
      <c r="U7" s="252">
        <f>SUMIFS($H$3:$H$39,$K$3:$K$39,5,$G$3:$G$39,"Geldbeutel")+SUMIFS($I$3:$I$39,$K$3:$K$39,5,$G$3:$G$39,"Geldbeutel")</f>
        <v>0</v>
      </c>
      <c r="V7" s="252">
        <f>SUMIFS($H$3:$H$39,$K$3:$K$39,6,$G$3:$G$39,"Geldbeutel")+SUMIFS($I$3:$I$39,$K$3:$K$39,6,$G$3:$G$39,"Geldbeutel")</f>
        <v>0</v>
      </c>
      <c r="W7" s="252">
        <f>SUMIFS($H$3:$H$39,$K$3:$K$39,7,$G$3:$G$39,"Geldbeutel")+SUMIFS($I$3:$I$39,$K$3:$K$39,7,$G$3:$G$39,"Geldbeutel")</f>
        <v>0</v>
      </c>
      <c r="X7" s="252">
        <f>SUMIFS($H$3:$H$39,$K$3:$K$39,8,$G$3:$G$39,"Geldbeutel")+SUMIFS($I$3:$I$39,$K$3:$K$39,8,$G$3:$G$39,"Geldbeutel")</f>
        <v>0</v>
      </c>
      <c r="Y7" s="252">
        <f>SUMIFS($H$3:$H$39,$K$3:$K$39,9,$G$3:$G$39,"Geldbeutel")+SUMIFS($I$3:$I$39,$K$3:$K$39,9,$G$3:$G$39,"Geldbeutel")</f>
        <v>0</v>
      </c>
      <c r="Z7" s="252">
        <f>SUMIFS($H$3:$H$39,$K$3:$K$39,10,$G$3:$G$39,"Geldbeutel")+SUMIFS($I$3:$I$39,$K$3:$K$39,10,$G$3:$G$39,"Geldbeutel")</f>
        <v>0</v>
      </c>
      <c r="AA7" s="252">
        <f>SUMIFS($H$3:$H$39,$K$3:$K$39,11,$G$3:$G$39,"Geldbeutel")+SUMIFS($I$3:$I$39,$K$3:$K$39,11,$G$3:$G$39,"Geldbeutel")</f>
        <v>0</v>
      </c>
      <c r="AB7" s="252">
        <f>SUMIFS($H$3:$H$39,$K$3:$K$39,12,$G$3:$G$39,"Geldbeutel")+SUMIFS($I$3:$I$39,$K$3:$K$39,12,$G$3:$G$39,"Geldbeutel")</f>
        <v>0</v>
      </c>
      <c r="AC7" s="253">
        <f>SUM(Q7:AB7)</f>
        <v>0</v>
      </c>
      <c r="AD7" s="254" t="s">
        <v>139</v>
      </c>
    </row>
    <row r="8" spans="1:30" ht="13.35" customHeight="1">
      <c r="A8" s="72" t="s">
        <v>5</v>
      </c>
      <c r="B8" s="141"/>
      <c r="C8" s="962"/>
      <c r="D8" s="963"/>
      <c r="E8" s="964"/>
      <c r="F8" s="291"/>
      <c r="G8" s="965"/>
      <c r="H8" s="966"/>
      <c r="I8" s="967"/>
      <c r="J8" s="347">
        <f t="shared" si="4"/>
        <v>0</v>
      </c>
      <c r="K8" s="298">
        <f t="shared" si="2"/>
        <v>0</v>
      </c>
      <c r="L8" s="432"/>
      <c r="M8" s="409">
        <f t="shared" si="3"/>
        <v>0</v>
      </c>
      <c r="N8" s="403" t="s">
        <v>5</v>
      </c>
      <c r="O8" s="1347"/>
      <c r="P8" s="760"/>
      <c r="Q8" s="252">
        <f>SUMIFS($H$3:$H$39,$K$3:$K$39,1,$G$3:$G$39,"X")+SUMIFS($I$3:$I$39,$K$3:$K$39,1,$G$3:$G$39,"X")</f>
        <v>0</v>
      </c>
      <c r="R8" s="252">
        <f>SUMIFS($H$3:$H$39,$K$3:$K$39,2,$G$3:$G$39,"X")+SUMIFS($I$3:$I$39,$K$3:$K$39,2,$G$3:$G$39,"X")</f>
        <v>0</v>
      </c>
      <c r="S8" s="252">
        <f>SUMIFS($H$3:$H$39,$K$3:$K$39,3,$G$3:$G$39,"X")+SUMIFS($I$3:$I$39,$K$3:$K$39,3,$G$3:$G$39,"X")</f>
        <v>0</v>
      </c>
      <c r="T8" s="252">
        <f>SUMIFS($H$3:$H$39,$K$3:$K$39,4,$G$3:$G$39,"X")+SUMIFS($I$3:$I$39,$K$3:$K$39,4,$G$3:$G$39,"X")</f>
        <v>0</v>
      </c>
      <c r="U8" s="252">
        <f>SUMIFS($H$3:$H$39,$K$3:$K$39,5,$G$3:$G$39,"X")+SUMIFS($I$3:$I$39,$K$3:$K$39,5,$G$3:$G$39,"X")</f>
        <v>0</v>
      </c>
      <c r="V8" s="252">
        <f>SUMIFS($H$3:$H$39,$K$3:$K$39,6,$G$3:$G$39,"X")+SUMIFS($I$3:$I$39,$K$3:$K$39,6,$G$3:$G$39,"X")</f>
        <v>0</v>
      </c>
      <c r="W8" s="252">
        <f>SUMIFS($H$3:$H$39,$K$3:$K$39,7,$G$3:$G$39,"X")+SUMIFS($I$3:$I$39,$K$3:$K$39,7,$G$3:$G$39,"X")</f>
        <v>0</v>
      </c>
      <c r="X8" s="252">
        <f>SUMIFS($H$3:$H$39,$K$3:$K$39,8,$G$3:$G$39,"X")+SUMIFS($I$3:$I$39,$K$3:$K$39,8,$G$3:$G$39,"X")</f>
        <v>0</v>
      </c>
      <c r="Y8" s="252">
        <f>SUMIFS($H$3:$H$39,$K$3:$K$39,9,$G$3:$G$39,"X")+SUMIFS($I$3:$I$39,$K$3:$K$39,9,$G$3:$G$39,"X")</f>
        <v>0</v>
      </c>
      <c r="Z8" s="252">
        <f>SUMIFS($H$3:$H$39,$K$3:$K$39,10,$G$3:$G$39,"X")+SUMIFS($I$3:$I$39,$K$3:$K$39,10,$G$3:$G$39,"X")</f>
        <v>0</v>
      </c>
      <c r="AA8" s="252">
        <f>SUMIFS($H$3:$H$39,$K$3:$K$39,11,$G$3:$G$39,"X")+SUMIFS($I$3:$I$39,$K$3:$K$39,11,$G$3:$G$39,"X")</f>
        <v>0</v>
      </c>
      <c r="AB8" s="252">
        <f>SUMIFS($H$3:$H$39,$K$3:$K$39,12,$G$3:$G$39,"X")+SUMIFS($I$3:$I$39,$K$3:$K$39,12,$G$3:$G$39,"X")</f>
        <v>0</v>
      </c>
      <c r="AC8" s="255">
        <f>SUM(Q8:AB8)</f>
        <v>0</v>
      </c>
      <c r="AD8" s="256" t="s">
        <v>192</v>
      </c>
    </row>
    <row r="9" spans="1:30" ht="13.35" customHeight="1">
      <c r="A9" s="72" t="s">
        <v>5</v>
      </c>
      <c r="B9" s="141"/>
      <c r="C9" s="962"/>
      <c r="D9" s="963"/>
      <c r="E9" s="964"/>
      <c r="F9" s="291"/>
      <c r="G9" s="965"/>
      <c r="H9" s="966"/>
      <c r="I9" s="967"/>
      <c r="J9" s="347">
        <f t="shared" si="4"/>
        <v>0</v>
      </c>
      <c r="K9" s="298">
        <f t="shared" si="2"/>
        <v>0</v>
      </c>
      <c r="L9" s="432"/>
      <c r="M9" s="409">
        <f t="shared" si="3"/>
        <v>0</v>
      </c>
      <c r="N9" s="403" t="s">
        <v>5</v>
      </c>
      <c r="O9" s="1347"/>
      <c r="P9" s="761">
        <f>IF(OR(AND(AC68&lt;&gt;0,B50="x"),(Q68+AC67)&lt;&gt;H50),1,0)</f>
        <v>0</v>
      </c>
      <c r="Q9" s="257">
        <f>SUM(Q5:Q8)</f>
        <v>0</v>
      </c>
      <c r="R9" s="257">
        <f t="shared" ref="R9:AB9" si="5">SUM(R5:R8)</f>
        <v>0</v>
      </c>
      <c r="S9" s="257">
        <f t="shared" si="5"/>
        <v>0</v>
      </c>
      <c r="T9" s="257">
        <f t="shared" si="5"/>
        <v>0</v>
      </c>
      <c r="U9" s="257">
        <f t="shared" si="5"/>
        <v>0</v>
      </c>
      <c r="V9" s="257">
        <f t="shared" si="5"/>
        <v>0</v>
      </c>
      <c r="W9" s="257">
        <f t="shared" si="5"/>
        <v>0</v>
      </c>
      <c r="X9" s="257">
        <f t="shared" si="5"/>
        <v>0</v>
      </c>
      <c r="Y9" s="257">
        <f t="shared" si="5"/>
        <v>0</v>
      </c>
      <c r="Z9" s="257">
        <f t="shared" si="5"/>
        <v>0</v>
      </c>
      <c r="AA9" s="257">
        <f t="shared" si="5"/>
        <v>0</v>
      </c>
      <c r="AB9" s="257">
        <f t="shared" si="5"/>
        <v>0</v>
      </c>
      <c r="AC9" s="1345" t="s">
        <v>197</v>
      </c>
      <c r="AD9" s="1346"/>
    </row>
    <row r="10" spans="1:30" ht="13.35" customHeight="1">
      <c r="A10" s="72" t="s">
        <v>5</v>
      </c>
      <c r="B10" s="141"/>
      <c r="C10" s="962"/>
      <c r="D10" s="963"/>
      <c r="E10" s="964"/>
      <c r="F10" s="291"/>
      <c r="G10" s="965"/>
      <c r="H10" s="966"/>
      <c r="I10" s="967"/>
      <c r="J10" s="347">
        <f t="shared" si="4"/>
        <v>0</v>
      </c>
      <c r="K10" s="298">
        <f t="shared" si="2"/>
        <v>0</v>
      </c>
      <c r="L10" s="432"/>
      <c r="M10" s="409">
        <f t="shared" si="3"/>
        <v>0</v>
      </c>
      <c r="N10" s="403" t="s">
        <v>5</v>
      </c>
      <c r="O10" s="1347"/>
      <c r="P10" s="943">
        <f>IF(Q10+AC10&lt;&gt;AC11,1,0)</f>
        <v>0</v>
      </c>
      <c r="Q10" s="1389">
        <f>SUM(Q5:AB8)</f>
        <v>0</v>
      </c>
      <c r="R10" s="1390"/>
      <c r="S10" s="1390"/>
      <c r="T10" s="1390"/>
      <c r="U10" s="1390"/>
      <c r="V10" s="1390"/>
      <c r="W10" s="1390"/>
      <c r="X10" s="1390"/>
      <c r="Y10" s="1390"/>
      <c r="Z10" s="1390"/>
      <c r="AA10" s="1390"/>
      <c r="AB10" s="1391"/>
      <c r="AC10" s="931">
        <f>+AC11-AC7-AC6-AC5-AC8</f>
        <v>0</v>
      </c>
      <c r="AD10" s="932" t="s">
        <v>205</v>
      </c>
    </row>
    <row r="11" spans="1:30" ht="13.35" customHeight="1">
      <c r="A11" s="72" t="s">
        <v>5</v>
      </c>
      <c r="B11" s="141"/>
      <c r="C11" s="962"/>
      <c r="D11" s="963"/>
      <c r="E11" s="964"/>
      <c r="F11" s="291"/>
      <c r="G11" s="965"/>
      <c r="H11" s="966"/>
      <c r="I11" s="967"/>
      <c r="J11" s="347">
        <f t="shared" si="4"/>
        <v>0</v>
      </c>
      <c r="K11" s="298">
        <f t="shared" si="2"/>
        <v>0</v>
      </c>
      <c r="L11" s="432"/>
      <c r="M11" s="409">
        <f t="shared" si="3"/>
        <v>0</v>
      </c>
      <c r="N11" s="403" t="s">
        <v>5</v>
      </c>
      <c r="O11" s="944"/>
      <c r="P11" s="945"/>
      <c r="Q11" s="1248"/>
      <c r="R11" s="1248"/>
      <c r="S11" s="1248"/>
      <c r="T11" s="1248"/>
      <c r="U11" s="1248"/>
      <c r="V11" s="1248"/>
      <c r="W11" s="1248"/>
      <c r="X11" s="1248"/>
      <c r="Y11" s="1248"/>
      <c r="Z11" s="1248"/>
      <c r="AA11" s="1248"/>
      <c r="AB11" s="1248"/>
      <c r="AC11" s="1356">
        <f>SUM(H3:I39)</f>
        <v>0</v>
      </c>
      <c r="AD11" s="1356"/>
    </row>
    <row r="12" spans="1:30" ht="13.35" customHeight="1">
      <c r="A12" s="72" t="s">
        <v>5</v>
      </c>
      <c r="B12" s="141"/>
      <c r="C12" s="962"/>
      <c r="D12" s="963"/>
      <c r="E12" s="964"/>
      <c r="F12" s="291"/>
      <c r="G12" s="965"/>
      <c r="H12" s="966"/>
      <c r="I12" s="967"/>
      <c r="J12" s="347">
        <f t="shared" si="4"/>
        <v>0</v>
      </c>
      <c r="K12" s="298">
        <f t="shared" si="2"/>
        <v>0</v>
      </c>
      <c r="L12" s="432"/>
      <c r="M12" s="409">
        <f t="shared" si="3"/>
        <v>0</v>
      </c>
      <c r="N12" s="403" t="s">
        <v>5</v>
      </c>
      <c r="O12" s="1347" t="s">
        <v>291</v>
      </c>
      <c r="P12" s="942"/>
      <c r="Q12" s="1353" t="s">
        <v>456</v>
      </c>
      <c r="R12" s="1354"/>
      <c r="S12" s="1354"/>
      <c r="T12" s="1354"/>
      <c r="U12" s="1354"/>
      <c r="V12" s="1354"/>
      <c r="W12" s="1354"/>
      <c r="X12" s="1354"/>
      <c r="Y12" s="1354"/>
      <c r="Z12" s="1354"/>
      <c r="AA12" s="1354"/>
      <c r="AB12" s="1355"/>
    </row>
    <row r="13" spans="1:30" ht="13.35" customHeight="1">
      <c r="A13" s="72" t="s">
        <v>5</v>
      </c>
      <c r="B13" s="141"/>
      <c r="C13" s="962"/>
      <c r="D13" s="963"/>
      <c r="E13" s="964"/>
      <c r="F13" s="291"/>
      <c r="G13" s="965"/>
      <c r="H13" s="966"/>
      <c r="I13" s="967"/>
      <c r="J13" s="347">
        <f t="shared" si="4"/>
        <v>0</v>
      </c>
      <c r="K13" s="298">
        <f t="shared" si="2"/>
        <v>0</v>
      </c>
      <c r="L13" s="432"/>
      <c r="M13" s="409">
        <f t="shared" si="3"/>
        <v>0</v>
      </c>
      <c r="N13" s="403" t="s">
        <v>5</v>
      </c>
      <c r="O13" s="1347"/>
      <c r="P13" s="760">
        <f>IF(P19+P58+P66&lt;&gt;0,1,0)</f>
        <v>0</v>
      </c>
      <c r="Q13" s="929" t="s">
        <v>36</v>
      </c>
      <c r="R13" s="929" t="s">
        <v>37</v>
      </c>
      <c r="S13" s="929" t="s">
        <v>38</v>
      </c>
      <c r="T13" s="929" t="s">
        <v>39</v>
      </c>
      <c r="U13" s="929" t="s">
        <v>40</v>
      </c>
      <c r="V13" s="929" t="s">
        <v>41</v>
      </c>
      <c r="W13" s="929" t="s">
        <v>42</v>
      </c>
      <c r="X13" s="929" t="s">
        <v>43</v>
      </c>
      <c r="Y13" s="929" t="s">
        <v>44</v>
      </c>
      <c r="Z13" s="929" t="s">
        <v>45</v>
      </c>
      <c r="AA13" s="929" t="s">
        <v>46</v>
      </c>
      <c r="AB13" s="929" t="s">
        <v>47</v>
      </c>
      <c r="AC13" s="1349" t="s">
        <v>255</v>
      </c>
      <c r="AD13" s="1350"/>
    </row>
    <row r="14" spans="1:30" ht="13.35" customHeight="1">
      <c r="A14" s="72" t="s">
        <v>5</v>
      </c>
      <c r="B14" s="141"/>
      <c r="C14" s="962"/>
      <c r="D14" s="963"/>
      <c r="E14" s="964"/>
      <c r="F14" s="291"/>
      <c r="G14" s="965"/>
      <c r="H14" s="966"/>
      <c r="I14" s="967"/>
      <c r="J14" s="347">
        <f t="shared" si="4"/>
        <v>0</v>
      </c>
      <c r="K14" s="298">
        <f t="shared" si="2"/>
        <v>0</v>
      </c>
      <c r="L14" s="432"/>
      <c r="M14" s="409">
        <f t="shared" si="3"/>
        <v>0</v>
      </c>
      <c r="N14" s="403" t="s">
        <v>5</v>
      </c>
      <c r="O14" s="1347"/>
      <c r="P14" s="760"/>
      <c r="Q14" s="928">
        <f>SUM('E01:K'!O5)</f>
        <v>0</v>
      </c>
      <c r="R14" s="928">
        <f>SUM('E01:K'!P5)</f>
        <v>0</v>
      </c>
      <c r="S14" s="928">
        <f>SUM('E01:K'!Q5)</f>
        <v>0</v>
      </c>
      <c r="T14" s="928">
        <f>SUM('E01:K'!R5)</f>
        <v>0</v>
      </c>
      <c r="U14" s="928">
        <f>SUM('E01:K'!S5)</f>
        <v>0</v>
      </c>
      <c r="V14" s="928">
        <f>SUM('E01:K'!T5)</f>
        <v>0</v>
      </c>
      <c r="W14" s="928">
        <f>SUM('E01:K'!U5)</f>
        <v>0</v>
      </c>
      <c r="X14" s="928">
        <f>SUM('E01:K'!V5)</f>
        <v>0</v>
      </c>
      <c r="Y14" s="928">
        <f>SUM('E01:K'!W5)</f>
        <v>0</v>
      </c>
      <c r="Z14" s="928">
        <f>SUM('E01:K'!X5)</f>
        <v>0</v>
      </c>
      <c r="AA14" s="928">
        <f>SUM('E01:K'!Y5)</f>
        <v>0</v>
      </c>
      <c r="AB14" s="928">
        <f>SUM('E01:K'!Z5)</f>
        <v>0</v>
      </c>
      <c r="AC14" s="933">
        <f>SUM(Q14:AB14)</f>
        <v>0</v>
      </c>
      <c r="AD14" s="934" t="s">
        <v>140</v>
      </c>
    </row>
    <row r="15" spans="1:30" ht="13.35" customHeight="1">
      <c r="A15" s="72" t="s">
        <v>5</v>
      </c>
      <c r="B15" s="141"/>
      <c r="C15" s="962"/>
      <c r="D15" s="963"/>
      <c r="E15" s="964"/>
      <c r="F15" s="291"/>
      <c r="G15" s="965"/>
      <c r="H15" s="966"/>
      <c r="I15" s="967"/>
      <c r="J15" s="347">
        <f t="shared" si="4"/>
        <v>0</v>
      </c>
      <c r="K15" s="298">
        <f t="shared" si="2"/>
        <v>0</v>
      </c>
      <c r="L15" s="432"/>
      <c r="M15" s="409">
        <f t="shared" si="3"/>
        <v>0</v>
      </c>
      <c r="N15" s="403" t="s">
        <v>5</v>
      </c>
      <c r="O15" s="1347"/>
      <c r="P15" s="760"/>
      <c r="Q15" s="928">
        <f>SUM('E01:K'!O6)</f>
        <v>0</v>
      </c>
      <c r="R15" s="928">
        <f>SUM('E01:K'!P6)</f>
        <v>0</v>
      </c>
      <c r="S15" s="928">
        <f>SUM('E01:K'!Q6)</f>
        <v>0</v>
      </c>
      <c r="T15" s="928">
        <f>SUM('E01:K'!R6)</f>
        <v>0</v>
      </c>
      <c r="U15" s="928">
        <f>SUM('E01:K'!S6)</f>
        <v>0</v>
      </c>
      <c r="V15" s="928">
        <f>SUM('E01:K'!T6)</f>
        <v>0</v>
      </c>
      <c r="W15" s="928">
        <f>SUM('E01:K'!U6)</f>
        <v>0</v>
      </c>
      <c r="X15" s="928">
        <f>SUM('E01:K'!V6)</f>
        <v>0</v>
      </c>
      <c r="Y15" s="928">
        <f>SUM('E01:K'!W6)</f>
        <v>0</v>
      </c>
      <c r="Z15" s="928">
        <f>SUM('E01:K'!X6)</f>
        <v>0</v>
      </c>
      <c r="AA15" s="928">
        <f>SUM('E01:K'!Y6)</f>
        <v>0</v>
      </c>
      <c r="AB15" s="928">
        <f>SUM('E01:K'!Z6)</f>
        <v>0</v>
      </c>
      <c r="AC15" s="935">
        <f>SUM(Q15:AB15)</f>
        <v>0</v>
      </c>
      <c r="AD15" s="936" t="s">
        <v>142</v>
      </c>
    </row>
    <row r="16" spans="1:30" ht="13.35" customHeight="1">
      <c r="A16" s="72" t="s">
        <v>5</v>
      </c>
      <c r="B16" s="141"/>
      <c r="C16" s="962"/>
      <c r="D16" s="963"/>
      <c r="E16" s="964"/>
      <c r="F16" s="291"/>
      <c r="G16" s="965"/>
      <c r="H16" s="966"/>
      <c r="I16" s="967"/>
      <c r="J16" s="347">
        <f t="shared" ref="J16:J22" si="6">IF(B16&gt;0,H16+I16+J15,+J15)</f>
        <v>0</v>
      </c>
      <c r="K16" s="298">
        <f t="shared" si="2"/>
        <v>0</v>
      </c>
      <c r="L16" s="432"/>
      <c r="M16" s="409">
        <f t="shared" ref="M16:M22" si="7">+K16</f>
        <v>0</v>
      </c>
      <c r="N16" s="403" t="s">
        <v>5</v>
      </c>
      <c r="O16" s="1347"/>
      <c r="P16" s="760"/>
      <c r="Q16" s="928">
        <f>SUM('E01:K'!O7)</f>
        <v>0</v>
      </c>
      <c r="R16" s="928">
        <f>SUM('E01:K'!P7)</f>
        <v>0</v>
      </c>
      <c r="S16" s="928">
        <f>SUM('E01:K'!Q7)</f>
        <v>0</v>
      </c>
      <c r="T16" s="928">
        <f>SUM('E01:K'!R7)</f>
        <v>0</v>
      </c>
      <c r="U16" s="928">
        <f>SUM('E01:K'!S7)</f>
        <v>0</v>
      </c>
      <c r="V16" s="928">
        <f>SUM('E01:K'!T7)</f>
        <v>0</v>
      </c>
      <c r="W16" s="928">
        <f>SUM('E01:K'!U7)</f>
        <v>0</v>
      </c>
      <c r="X16" s="928">
        <f>SUM('E01:K'!V7)</f>
        <v>0</v>
      </c>
      <c r="Y16" s="928">
        <f>SUM('E01:K'!W7)</f>
        <v>0</v>
      </c>
      <c r="Z16" s="928">
        <f>SUM('E01:K'!X7)</f>
        <v>0</v>
      </c>
      <c r="AA16" s="928">
        <f>SUM('E01:K'!Y7)</f>
        <v>0</v>
      </c>
      <c r="AB16" s="928">
        <f>SUM('E01:K'!Z7)</f>
        <v>0</v>
      </c>
      <c r="AC16" s="933">
        <f>SUM(Q16:AB16)</f>
        <v>0</v>
      </c>
      <c r="AD16" s="934" t="s">
        <v>139</v>
      </c>
    </row>
    <row r="17" spans="1:30" ht="13.35" customHeight="1">
      <c r="A17" s="72" t="s">
        <v>5</v>
      </c>
      <c r="B17" s="141"/>
      <c r="C17" s="962"/>
      <c r="D17" s="963"/>
      <c r="E17" s="964"/>
      <c r="F17" s="291"/>
      <c r="G17" s="965"/>
      <c r="H17" s="966"/>
      <c r="I17" s="967"/>
      <c r="J17" s="347">
        <f t="shared" si="6"/>
        <v>0</v>
      </c>
      <c r="K17" s="298">
        <f t="shared" si="2"/>
        <v>0</v>
      </c>
      <c r="L17" s="432"/>
      <c r="M17" s="409">
        <f t="shared" si="7"/>
        <v>0</v>
      </c>
      <c r="N17" s="403" t="s">
        <v>5</v>
      </c>
      <c r="O17" s="1347"/>
      <c r="P17" s="760"/>
      <c r="Q17" s="928">
        <f>SUM('E01:K'!O8)</f>
        <v>0</v>
      </c>
      <c r="R17" s="928">
        <f>SUM('E01:K'!P8)</f>
        <v>0</v>
      </c>
      <c r="S17" s="928">
        <f>SUM('E01:K'!Q8)</f>
        <v>0</v>
      </c>
      <c r="T17" s="928">
        <f>SUM('E01:K'!R8)</f>
        <v>0</v>
      </c>
      <c r="U17" s="928">
        <f>SUM('E01:K'!S8)</f>
        <v>0</v>
      </c>
      <c r="V17" s="928">
        <f>SUM('E01:K'!T8)</f>
        <v>0</v>
      </c>
      <c r="W17" s="928">
        <f>SUM('E01:K'!U8)</f>
        <v>0</v>
      </c>
      <c r="X17" s="928">
        <f>SUM('E01:K'!V8)</f>
        <v>0</v>
      </c>
      <c r="Y17" s="928">
        <f>SUM('E01:K'!W8)</f>
        <v>0</v>
      </c>
      <c r="Z17" s="928">
        <f>SUM('E01:K'!X8)</f>
        <v>0</v>
      </c>
      <c r="AA17" s="928">
        <f>SUM('E01:K'!Y8)</f>
        <v>0</v>
      </c>
      <c r="AB17" s="928">
        <f>SUM('E01:K'!Z8)</f>
        <v>0</v>
      </c>
      <c r="AC17" s="935">
        <f>SUM(Q17:AB17)</f>
        <v>0</v>
      </c>
      <c r="AD17" s="936" t="s">
        <v>192</v>
      </c>
    </row>
    <row r="18" spans="1:30" ht="13.35" customHeight="1">
      <c r="A18" s="72" t="s">
        <v>5</v>
      </c>
      <c r="B18" s="141"/>
      <c r="C18" s="962"/>
      <c r="D18" s="963"/>
      <c r="E18" s="964"/>
      <c r="F18" s="291"/>
      <c r="G18" s="965"/>
      <c r="H18" s="966"/>
      <c r="I18" s="967"/>
      <c r="J18" s="347">
        <f t="shared" si="6"/>
        <v>0</v>
      </c>
      <c r="K18" s="298">
        <f t="shared" si="2"/>
        <v>0</v>
      </c>
      <c r="L18" s="432"/>
      <c r="M18" s="409">
        <f t="shared" si="7"/>
        <v>0</v>
      </c>
      <c r="N18" s="403" t="s">
        <v>5</v>
      </c>
      <c r="O18" s="1347"/>
      <c r="P18" s="761" t="e">
        <f>IF(OR(AND(#REF!&lt;&gt;0,B59="x"),(#REF!+#REF!)&lt;&gt;H59),1,0)</f>
        <v>#REF!</v>
      </c>
      <c r="Q18" s="930">
        <f>SUM('E01:K'!O9)</f>
        <v>0</v>
      </c>
      <c r="R18" s="930">
        <f>SUM('E01:K'!P9)</f>
        <v>0</v>
      </c>
      <c r="S18" s="930">
        <f>SUM('E01:K'!Q9)</f>
        <v>0</v>
      </c>
      <c r="T18" s="930">
        <f>SUM('E01:K'!R9)</f>
        <v>0</v>
      </c>
      <c r="U18" s="930">
        <f>SUM('E01:K'!S9)</f>
        <v>0</v>
      </c>
      <c r="V18" s="930">
        <f>SUM('E01:K'!T9)</f>
        <v>0</v>
      </c>
      <c r="W18" s="930">
        <f>SUM('E01:K'!U9)</f>
        <v>0</v>
      </c>
      <c r="X18" s="930">
        <f>SUM('E01:K'!V9)</f>
        <v>0</v>
      </c>
      <c r="Y18" s="930">
        <f>SUM('E01:K'!W9)</f>
        <v>0</v>
      </c>
      <c r="Z18" s="930">
        <f>SUM('E01:K'!X9)</f>
        <v>0</v>
      </c>
      <c r="AA18" s="930">
        <f>SUM('E01:K'!Y9)</f>
        <v>0</v>
      </c>
      <c r="AB18" s="930">
        <f>SUM('E01:K'!Z9)</f>
        <v>0</v>
      </c>
      <c r="AC18" s="1351" t="s">
        <v>197</v>
      </c>
      <c r="AD18" s="1352"/>
    </row>
    <row r="19" spans="1:30" ht="13.35" customHeight="1">
      <c r="A19" s="72" t="s">
        <v>5</v>
      </c>
      <c r="B19" s="141"/>
      <c r="C19" s="962"/>
      <c r="D19" s="963"/>
      <c r="E19" s="964"/>
      <c r="F19" s="291"/>
      <c r="G19" s="965"/>
      <c r="H19" s="966"/>
      <c r="I19" s="967"/>
      <c r="J19" s="347">
        <f t="shared" si="6"/>
        <v>0</v>
      </c>
      <c r="K19" s="298">
        <f t="shared" si="2"/>
        <v>0</v>
      </c>
      <c r="L19" s="432"/>
      <c r="M19" s="409">
        <f t="shared" si="7"/>
        <v>0</v>
      </c>
      <c r="N19" s="403" t="s">
        <v>5</v>
      </c>
      <c r="O19" s="1348"/>
      <c r="P19" s="762">
        <f>IF(Q19+AC19&lt;&gt;AC20,1,0)</f>
        <v>0</v>
      </c>
      <c r="Q19" s="1353">
        <f>SUM(Q14:AB17)</f>
        <v>0</v>
      </c>
      <c r="R19" s="1354"/>
      <c r="S19" s="1354"/>
      <c r="T19" s="1354"/>
      <c r="U19" s="1354"/>
      <c r="V19" s="1354"/>
      <c r="W19" s="1354"/>
      <c r="X19" s="1354"/>
      <c r="Y19" s="1354"/>
      <c r="Z19" s="1354"/>
      <c r="AA19" s="1354"/>
      <c r="AB19" s="1355"/>
      <c r="AC19" s="931">
        <f>SUM('E01:K'!AA10)</f>
        <v>0</v>
      </c>
      <c r="AD19" s="932" t="s">
        <v>205</v>
      </c>
    </row>
    <row r="20" spans="1:30" ht="13.35" customHeight="1">
      <c r="A20" s="72" t="s">
        <v>5</v>
      </c>
      <c r="B20" s="141"/>
      <c r="C20" s="962"/>
      <c r="D20" s="963"/>
      <c r="E20" s="964"/>
      <c r="F20" s="291"/>
      <c r="G20" s="965"/>
      <c r="H20" s="966"/>
      <c r="I20" s="967"/>
      <c r="J20" s="347">
        <f t="shared" si="6"/>
        <v>0</v>
      </c>
      <c r="K20" s="298">
        <f t="shared" si="2"/>
        <v>0</v>
      </c>
      <c r="L20" s="432"/>
      <c r="M20" s="409">
        <f t="shared" si="7"/>
        <v>0</v>
      </c>
      <c r="N20" s="403" t="s">
        <v>5</v>
      </c>
      <c r="O20" s="418"/>
      <c r="Q20" s="1248"/>
      <c r="R20" s="1248"/>
      <c r="S20" s="1248"/>
      <c r="T20" s="1248"/>
      <c r="U20" s="1248"/>
      <c r="V20" s="1248"/>
      <c r="W20" s="1248"/>
      <c r="X20" s="1248"/>
      <c r="Y20" s="1248"/>
      <c r="Z20" s="1248"/>
      <c r="AA20" s="1248"/>
      <c r="AB20" s="1248"/>
      <c r="AC20" s="1356">
        <f>SUM(H12:I48)</f>
        <v>0</v>
      </c>
      <c r="AD20" s="1356"/>
    </row>
    <row r="21" spans="1:30" ht="13.35" customHeight="1">
      <c r="A21" s="72" t="s">
        <v>5</v>
      </c>
      <c r="B21" s="141"/>
      <c r="C21" s="962"/>
      <c r="D21" s="963"/>
      <c r="E21" s="964"/>
      <c r="F21" s="291"/>
      <c r="G21" s="965"/>
      <c r="H21" s="966"/>
      <c r="I21" s="967"/>
      <c r="J21" s="347">
        <f t="shared" si="6"/>
        <v>0</v>
      </c>
      <c r="K21" s="298">
        <f t="shared" si="2"/>
        <v>0</v>
      </c>
      <c r="L21" s="432"/>
      <c r="M21" s="409">
        <f t="shared" si="7"/>
        <v>0</v>
      </c>
      <c r="N21" s="403" t="s">
        <v>5</v>
      </c>
      <c r="O21" s="418"/>
    </row>
    <row r="22" spans="1:30" ht="13.35" customHeight="1">
      <c r="A22" s="72" t="s">
        <v>5</v>
      </c>
      <c r="B22" s="141"/>
      <c r="C22" s="962"/>
      <c r="D22" s="963"/>
      <c r="E22" s="964"/>
      <c r="F22" s="291"/>
      <c r="G22" s="965"/>
      <c r="H22" s="966"/>
      <c r="I22" s="967"/>
      <c r="J22" s="347">
        <f t="shared" si="6"/>
        <v>0</v>
      </c>
      <c r="K22" s="298">
        <f t="shared" si="2"/>
        <v>0</v>
      </c>
      <c r="L22" s="432"/>
      <c r="M22" s="409">
        <f t="shared" si="7"/>
        <v>0</v>
      </c>
      <c r="N22" s="403" t="s">
        <v>5</v>
      </c>
      <c r="O22" s="418"/>
    </row>
    <row r="23" spans="1:30" ht="13.35" customHeight="1">
      <c r="A23" s="72" t="s">
        <v>5</v>
      </c>
      <c r="B23" s="141"/>
      <c r="C23" s="962"/>
      <c r="D23" s="963"/>
      <c r="E23" s="964"/>
      <c r="F23" s="291"/>
      <c r="G23" s="386"/>
      <c r="H23" s="966"/>
      <c r="I23" s="967"/>
      <c r="J23" s="347">
        <f t="shared" ref="J23:J34" si="8">IF(B23&gt;0,H23+I23+J22,+J22)</f>
        <v>0</v>
      </c>
      <c r="K23" s="298">
        <f t="shared" si="2"/>
        <v>0</v>
      </c>
      <c r="L23" s="432"/>
      <c r="M23" s="409">
        <f t="shared" ref="M23:M34" si="9">+K23</f>
        <v>0</v>
      </c>
      <c r="N23" s="403" t="s">
        <v>5</v>
      </c>
      <c r="O23" s="418"/>
    </row>
    <row r="24" spans="1:30" ht="13.35" customHeight="1">
      <c r="A24" s="72" t="s">
        <v>5</v>
      </c>
      <c r="B24" s="141"/>
      <c r="C24" s="962"/>
      <c r="D24" s="963"/>
      <c r="E24" s="964"/>
      <c r="F24" s="291"/>
      <c r="G24" s="386"/>
      <c r="H24" s="966"/>
      <c r="I24" s="967"/>
      <c r="J24" s="347">
        <f t="shared" si="8"/>
        <v>0</v>
      </c>
      <c r="K24" s="298">
        <f t="shared" si="2"/>
        <v>0</v>
      </c>
      <c r="L24" s="432"/>
      <c r="M24" s="409">
        <f t="shared" si="9"/>
        <v>0</v>
      </c>
      <c r="N24" s="403" t="s">
        <v>5</v>
      </c>
      <c r="O24" s="418"/>
    </row>
    <row r="25" spans="1:30" ht="13.35" customHeight="1">
      <c r="A25" s="72" t="s">
        <v>5</v>
      </c>
      <c r="B25" s="141"/>
      <c r="C25" s="962"/>
      <c r="D25" s="963"/>
      <c r="E25" s="964"/>
      <c r="F25" s="291"/>
      <c r="G25" s="386"/>
      <c r="H25" s="966"/>
      <c r="I25" s="967"/>
      <c r="J25" s="347">
        <f t="shared" si="8"/>
        <v>0</v>
      </c>
      <c r="K25" s="298">
        <f t="shared" si="2"/>
        <v>0</v>
      </c>
      <c r="L25" s="432"/>
      <c r="M25" s="409">
        <f t="shared" si="9"/>
        <v>0</v>
      </c>
      <c r="N25" s="403" t="s">
        <v>5</v>
      </c>
      <c r="O25" s="418"/>
    </row>
    <row r="26" spans="1:30" ht="13.35" customHeight="1">
      <c r="A26" s="72" t="s">
        <v>5</v>
      </c>
      <c r="B26" s="141"/>
      <c r="C26" s="962"/>
      <c r="D26" s="963"/>
      <c r="E26" s="964"/>
      <c r="F26" s="291"/>
      <c r="G26" s="386"/>
      <c r="H26" s="966"/>
      <c r="I26" s="967"/>
      <c r="J26" s="347">
        <f t="shared" si="8"/>
        <v>0</v>
      </c>
      <c r="K26" s="298">
        <f t="shared" si="2"/>
        <v>0</v>
      </c>
      <c r="L26" s="432"/>
      <c r="M26" s="409">
        <f t="shared" si="9"/>
        <v>0</v>
      </c>
      <c r="N26" s="403" t="s">
        <v>5</v>
      </c>
      <c r="O26" s="418"/>
    </row>
    <row r="27" spans="1:30" ht="13.35" customHeight="1">
      <c r="A27" s="72" t="s">
        <v>5</v>
      </c>
      <c r="B27" s="141"/>
      <c r="C27" s="962"/>
      <c r="D27" s="963"/>
      <c r="E27" s="964"/>
      <c r="F27" s="291"/>
      <c r="G27" s="386"/>
      <c r="H27" s="966"/>
      <c r="I27" s="967"/>
      <c r="J27" s="347">
        <f t="shared" si="8"/>
        <v>0</v>
      </c>
      <c r="K27" s="298">
        <f t="shared" si="2"/>
        <v>0</v>
      </c>
      <c r="L27" s="432"/>
      <c r="M27" s="409">
        <f t="shared" si="9"/>
        <v>0</v>
      </c>
      <c r="N27" s="403" t="s">
        <v>5</v>
      </c>
      <c r="O27" s="418"/>
    </row>
    <row r="28" spans="1:30" ht="13.35" customHeight="1">
      <c r="A28" s="72" t="s">
        <v>5</v>
      </c>
      <c r="B28" s="141"/>
      <c r="C28" s="962"/>
      <c r="D28" s="963"/>
      <c r="E28" s="964"/>
      <c r="F28" s="291"/>
      <c r="G28" s="386"/>
      <c r="H28" s="966"/>
      <c r="I28" s="967"/>
      <c r="J28" s="347">
        <f t="shared" si="8"/>
        <v>0</v>
      </c>
      <c r="K28" s="298">
        <f t="shared" si="2"/>
        <v>0</v>
      </c>
      <c r="L28" s="432"/>
      <c r="M28" s="409">
        <f t="shared" si="9"/>
        <v>0</v>
      </c>
      <c r="N28" s="403" t="s">
        <v>5</v>
      </c>
      <c r="O28" s="418"/>
    </row>
    <row r="29" spans="1:30" ht="13.35" customHeight="1">
      <c r="A29" s="72" t="s">
        <v>5</v>
      </c>
      <c r="B29" s="141"/>
      <c r="C29" s="962"/>
      <c r="D29" s="963"/>
      <c r="E29" s="964"/>
      <c r="F29" s="291"/>
      <c r="G29" s="386"/>
      <c r="H29" s="966"/>
      <c r="I29" s="967"/>
      <c r="J29" s="347">
        <f>IF(B29&gt;0,H29+I29+J28,+J28)</f>
        <v>0</v>
      </c>
      <c r="K29" s="298">
        <f t="shared" si="2"/>
        <v>0</v>
      </c>
      <c r="L29" s="432"/>
      <c r="M29" s="409">
        <f t="shared" si="9"/>
        <v>0</v>
      </c>
      <c r="N29" s="403" t="s">
        <v>5</v>
      </c>
      <c r="O29" s="418"/>
      <c r="P29" s="758"/>
    </row>
    <row r="30" spans="1:30" ht="13.35" customHeight="1">
      <c r="A30" s="72" t="s">
        <v>5</v>
      </c>
      <c r="B30" s="141"/>
      <c r="C30" s="962"/>
      <c r="D30" s="963"/>
      <c r="E30" s="964"/>
      <c r="F30" s="291"/>
      <c r="G30" s="386"/>
      <c r="H30" s="966"/>
      <c r="I30" s="967"/>
      <c r="J30" s="347">
        <f t="shared" si="8"/>
        <v>0</v>
      </c>
      <c r="K30" s="298">
        <f t="shared" si="2"/>
        <v>0</v>
      </c>
      <c r="L30" s="432"/>
      <c r="M30" s="409">
        <f t="shared" si="9"/>
        <v>0</v>
      </c>
      <c r="N30" s="403" t="s">
        <v>5</v>
      </c>
      <c r="O30" s="418"/>
    </row>
    <row r="31" spans="1:30" ht="13.35" customHeight="1">
      <c r="A31" s="72" t="s">
        <v>5</v>
      </c>
      <c r="B31" s="141"/>
      <c r="C31" s="962"/>
      <c r="D31" s="963"/>
      <c r="E31" s="964"/>
      <c r="F31" s="291"/>
      <c r="G31" s="386"/>
      <c r="H31" s="966"/>
      <c r="I31" s="967"/>
      <c r="J31" s="347">
        <f t="shared" si="8"/>
        <v>0</v>
      </c>
      <c r="K31" s="298">
        <f t="shared" si="2"/>
        <v>0</v>
      </c>
      <c r="L31" s="432"/>
      <c r="M31" s="409">
        <f t="shared" si="9"/>
        <v>0</v>
      </c>
      <c r="N31" s="403" t="s">
        <v>5</v>
      </c>
      <c r="O31" s="418"/>
      <c r="P31" s="763"/>
    </row>
    <row r="32" spans="1:30" ht="13.35" customHeight="1">
      <c r="A32" s="72" t="s">
        <v>5</v>
      </c>
      <c r="B32" s="141"/>
      <c r="C32" s="962"/>
      <c r="D32" s="963"/>
      <c r="E32" s="964"/>
      <c r="F32" s="291"/>
      <c r="G32" s="386"/>
      <c r="H32" s="966"/>
      <c r="I32" s="967"/>
      <c r="J32" s="347">
        <f t="shared" si="8"/>
        <v>0</v>
      </c>
      <c r="K32" s="298">
        <f t="shared" si="2"/>
        <v>0</v>
      </c>
      <c r="L32" s="432"/>
      <c r="M32" s="409">
        <f t="shared" si="9"/>
        <v>0</v>
      </c>
      <c r="N32" s="403" t="s">
        <v>5</v>
      </c>
      <c r="O32" s="418"/>
      <c r="P32" s="763"/>
    </row>
    <row r="33" spans="1:30" ht="13.35" customHeight="1">
      <c r="A33" s="72" t="s">
        <v>5</v>
      </c>
      <c r="B33" s="141"/>
      <c r="C33" s="962"/>
      <c r="D33" s="963"/>
      <c r="E33" s="964"/>
      <c r="F33" s="291"/>
      <c r="G33" s="386"/>
      <c r="H33" s="966"/>
      <c r="I33" s="967"/>
      <c r="J33" s="347">
        <f t="shared" si="8"/>
        <v>0</v>
      </c>
      <c r="K33" s="298">
        <f t="shared" si="2"/>
        <v>0</v>
      </c>
      <c r="L33" s="432"/>
      <c r="M33" s="409">
        <f t="shared" si="9"/>
        <v>0</v>
      </c>
      <c r="N33" s="403" t="s">
        <v>5</v>
      </c>
      <c r="O33" s="418"/>
      <c r="Q33" s="397"/>
      <c r="R33" s="397"/>
      <c r="S33" s="397"/>
      <c r="T33" s="397"/>
      <c r="U33" s="397"/>
      <c r="V33" s="397"/>
      <c r="W33" s="397"/>
      <c r="X33" s="397"/>
      <c r="Y33" s="397"/>
      <c r="Z33" s="397"/>
      <c r="AA33" s="397"/>
      <c r="AB33" s="397"/>
      <c r="AC33" s="397"/>
      <c r="AD33" s="397"/>
    </row>
    <row r="34" spans="1:30" ht="13.35" customHeight="1">
      <c r="A34" s="72" t="s">
        <v>5</v>
      </c>
      <c r="B34" s="141"/>
      <c r="C34" s="962"/>
      <c r="D34" s="963"/>
      <c r="E34" s="964"/>
      <c r="F34" s="291"/>
      <c r="G34" s="386"/>
      <c r="H34" s="966"/>
      <c r="I34" s="967"/>
      <c r="J34" s="347">
        <f t="shared" si="8"/>
        <v>0</v>
      </c>
      <c r="K34" s="298">
        <f t="shared" si="2"/>
        <v>0</v>
      </c>
      <c r="L34" s="432"/>
      <c r="M34" s="409">
        <f t="shared" si="9"/>
        <v>0</v>
      </c>
      <c r="N34" s="403" t="s">
        <v>5</v>
      </c>
      <c r="O34" s="418"/>
      <c r="Q34" s="397"/>
      <c r="R34" s="397"/>
      <c r="S34" s="397"/>
      <c r="T34" s="397"/>
      <c r="U34" s="397"/>
      <c r="V34" s="397"/>
      <c r="W34" s="397"/>
      <c r="X34" s="397"/>
      <c r="Y34" s="397"/>
      <c r="Z34" s="397"/>
      <c r="AA34" s="397"/>
      <c r="AB34" s="397"/>
      <c r="AC34" s="397"/>
      <c r="AD34" s="397"/>
    </row>
    <row r="35" spans="1:30" ht="13.35" customHeight="1">
      <c r="A35" s="72" t="s">
        <v>5</v>
      </c>
      <c r="B35" s="141"/>
      <c r="C35" s="962"/>
      <c r="D35" s="963"/>
      <c r="E35" s="964"/>
      <c r="F35" s="291"/>
      <c r="G35" s="386"/>
      <c r="H35" s="966"/>
      <c r="I35" s="967"/>
      <c r="J35" s="347">
        <f t="shared" ref="J35:J38" si="10">IF(B35&gt;0,H35+I35+J34,+J34)</f>
        <v>0</v>
      </c>
      <c r="K35" s="298">
        <f t="shared" ref="K35:K38" si="11">IF(B35&lt;$Q$2,0,IF(B35&lt;$R$2,1,IF(B35&lt;$S$2,2,IF(B35&lt;$T$2,3,IF(B35&lt;$U$2,4,IF(B35&lt;$V$2,5,IF(B35&lt;$W$2,6,IF(B35&lt;$X$2,7,IF(B35&lt;$Y$2,8,IF(B35&lt;$Z$2,9,IF(B35&lt;$AA$2,10,IF(B35&lt;$AB$2,11,IF(B35&lt;=$AB$3,12,0)))))))))))))</f>
        <v>0</v>
      </c>
      <c r="L35" s="432"/>
      <c r="M35" s="409">
        <f t="shared" ref="M35:M38" si="12">+K35</f>
        <v>0</v>
      </c>
      <c r="N35" s="403" t="s">
        <v>5</v>
      </c>
      <c r="O35" s="418"/>
      <c r="Q35" s="397"/>
      <c r="R35" s="397"/>
      <c r="S35" s="397"/>
      <c r="T35" s="397"/>
      <c r="U35" s="397"/>
      <c r="V35" s="397"/>
      <c r="W35" s="397"/>
      <c r="X35" s="397"/>
      <c r="Y35" s="397"/>
      <c r="Z35" s="397"/>
      <c r="AA35" s="397"/>
      <c r="AB35" s="397"/>
      <c r="AC35" s="397"/>
      <c r="AD35" s="397"/>
    </row>
    <row r="36" spans="1:30" ht="13.35" customHeight="1">
      <c r="A36" s="72" t="s">
        <v>5</v>
      </c>
      <c r="B36" s="141"/>
      <c r="C36" s="962"/>
      <c r="D36" s="963"/>
      <c r="E36" s="964"/>
      <c r="F36" s="291"/>
      <c r="G36" s="386"/>
      <c r="H36" s="966"/>
      <c r="I36" s="967"/>
      <c r="J36" s="347">
        <f t="shared" si="10"/>
        <v>0</v>
      </c>
      <c r="K36" s="298">
        <f t="shared" si="11"/>
        <v>0</v>
      </c>
      <c r="L36" s="432"/>
      <c r="M36" s="409">
        <f t="shared" si="12"/>
        <v>0</v>
      </c>
      <c r="N36" s="403" t="s">
        <v>5</v>
      </c>
      <c r="O36" s="418"/>
      <c r="Q36" s="397"/>
      <c r="R36" s="397"/>
      <c r="S36" s="397"/>
      <c r="T36" s="397"/>
      <c r="U36" s="397"/>
      <c r="V36" s="397"/>
      <c r="W36" s="397"/>
      <c r="X36" s="397"/>
      <c r="Y36" s="397"/>
      <c r="Z36" s="397"/>
      <c r="AA36" s="397"/>
      <c r="AB36" s="397"/>
      <c r="AC36" s="397"/>
      <c r="AD36" s="397"/>
    </row>
    <row r="37" spans="1:30" ht="13.35" customHeight="1">
      <c r="A37" s="72" t="s">
        <v>5</v>
      </c>
      <c r="B37" s="141"/>
      <c r="C37" s="962"/>
      <c r="D37" s="963"/>
      <c r="E37" s="964"/>
      <c r="F37" s="291"/>
      <c r="G37" s="386"/>
      <c r="H37" s="966"/>
      <c r="I37" s="967"/>
      <c r="J37" s="347">
        <f t="shared" si="10"/>
        <v>0</v>
      </c>
      <c r="K37" s="298">
        <f t="shared" si="11"/>
        <v>0</v>
      </c>
      <c r="L37" s="432"/>
      <c r="M37" s="409">
        <f t="shared" si="12"/>
        <v>0</v>
      </c>
      <c r="N37" s="403" t="s">
        <v>5</v>
      </c>
      <c r="O37" s="418"/>
      <c r="R37" s="397"/>
      <c r="S37" s="397"/>
      <c r="T37" s="397"/>
      <c r="U37" s="397"/>
      <c r="V37" s="397"/>
      <c r="W37" s="397"/>
      <c r="X37" s="397"/>
      <c r="Y37" s="397"/>
      <c r="Z37" s="397"/>
      <c r="AA37" s="397"/>
      <c r="AB37" s="397"/>
      <c r="AC37" s="397"/>
      <c r="AD37" s="397"/>
    </row>
    <row r="38" spans="1:30" ht="13.35" customHeight="1" thickBot="1">
      <c r="A38" s="72" t="s">
        <v>5</v>
      </c>
      <c r="B38" s="141"/>
      <c r="C38" s="962"/>
      <c r="D38" s="963"/>
      <c r="E38" s="964"/>
      <c r="F38" s="291"/>
      <c r="G38" s="386"/>
      <c r="H38" s="966"/>
      <c r="I38" s="967"/>
      <c r="J38" s="347">
        <f t="shared" si="10"/>
        <v>0</v>
      </c>
      <c r="K38" s="298">
        <f t="shared" si="11"/>
        <v>0</v>
      </c>
      <c r="L38" s="432"/>
      <c r="M38" s="409">
        <f t="shared" si="12"/>
        <v>0</v>
      </c>
      <c r="N38" s="403" t="s">
        <v>5</v>
      </c>
      <c r="O38" s="418"/>
      <c r="R38" s="397"/>
      <c r="S38" s="397"/>
      <c r="T38" s="397"/>
      <c r="U38" s="397"/>
      <c r="V38" s="397"/>
      <c r="W38" s="397"/>
      <c r="X38" s="397"/>
      <c r="Y38" s="397"/>
      <c r="Z38" s="397"/>
      <c r="AA38" s="397"/>
      <c r="AB38" s="397"/>
      <c r="AC38" s="397"/>
      <c r="AD38" s="397"/>
    </row>
    <row r="39" spans="1:30" ht="2.1" customHeight="1" thickTop="1">
      <c r="A39" s="1324" t="s">
        <v>283</v>
      </c>
      <c r="B39" s="1385" t="str">
        <f>IF(B42&lt;&gt;0,"bis hierher ziehen!","  ^ Zeile einfügen")</f>
        <v xml:space="preserve">  ^ Zeile einfügen</v>
      </c>
      <c r="C39" s="1385"/>
      <c r="D39" s="413"/>
      <c r="E39" s="413"/>
      <c r="F39" s="414"/>
      <c r="G39" s="415"/>
      <c r="H39" s="416"/>
      <c r="I39" s="417"/>
      <c r="J39" s="416"/>
      <c r="M39" s="409">
        <v>0</v>
      </c>
      <c r="N39" s="72" t="s">
        <v>5</v>
      </c>
      <c r="O39" s="418"/>
    </row>
    <row r="40" spans="1:30" ht="11.1" customHeight="1">
      <c r="A40" s="1324"/>
      <c r="B40" s="1386"/>
      <c r="C40" s="1386"/>
      <c r="D40" s="1384">
        <f>SUMIF(G4:G39,"Kreditkarte",H4:H39)+SUMIF(G4:G39,"Kreditkarte",I4:I39)</f>
        <v>0</v>
      </c>
      <c r="E40" s="1384"/>
      <c r="F40" s="1371">
        <f>SUMIF(G4:G39,"Konto",H4:H39)+SUMIF(G4:G39,"Konto",I4:I39)</f>
        <v>0</v>
      </c>
      <c r="G40" s="1371"/>
      <c r="H40" s="1372">
        <f>SUMIF(G4:G39,"Geldbeutel",H4:H39)+SUMIF(G4:G39,"Geldbeutel",I4:I39)</f>
        <v>0</v>
      </c>
      <c r="I40" s="1372"/>
      <c r="K40" s="423">
        <v>0</v>
      </c>
      <c r="L40" s="423"/>
      <c r="M40" s="409">
        <v>1</v>
      </c>
      <c r="N40" s="424" t="s">
        <v>283</v>
      </c>
      <c r="O40" s="418"/>
    </row>
    <row r="41" spans="1:30" ht="3" customHeight="1" thickBot="1">
      <c r="A41" s="412" t="s">
        <v>160</v>
      </c>
      <c r="B41" s="67"/>
      <c r="C41" s="38"/>
      <c r="D41" s="38"/>
      <c r="E41" s="38"/>
      <c r="F41" s="68"/>
      <c r="G41" s="69"/>
      <c r="H41" s="70"/>
      <c r="I41" s="71"/>
      <c r="J41" s="70"/>
      <c r="M41" s="409">
        <v>1</v>
      </c>
      <c r="N41" s="103" t="s">
        <v>172</v>
      </c>
      <c r="O41" s="418"/>
    </row>
    <row r="42" spans="1:30" ht="13.35" customHeight="1" thickTop="1">
      <c r="A42" s="411" t="s">
        <v>172</v>
      </c>
      <c r="B42" s="404">
        <f>COUNTBLANK(A3:A39)+B44</f>
        <v>0</v>
      </c>
      <c r="C42" s="794">
        <f>-I47+F40+D68</f>
        <v>0</v>
      </c>
      <c r="D42" s="1387" t="s">
        <v>295</v>
      </c>
      <c r="E42" s="1387"/>
      <c r="F42" s="1387"/>
      <c r="G42" s="1388"/>
      <c r="H42" s="428" t="str">
        <f>IF(C42&lt;0,+C42,"")</f>
        <v/>
      </c>
      <c r="I42" s="429" t="str">
        <f>IF(C42&gt;0,+C42,"")</f>
        <v/>
      </c>
      <c r="J42" s="399">
        <f>+C42</f>
        <v>0</v>
      </c>
      <c r="K42" s="410"/>
      <c r="M42" s="409">
        <v>1</v>
      </c>
      <c r="N42" s="103" t="s">
        <v>172</v>
      </c>
      <c r="O42" s="418"/>
      <c r="Q42" s="1404" t="str">
        <f>IF(B68&lt;&gt;0,"Gesamtauswertung der 'Einnahmen/Ausgaben' sowie 'Einlagen/Entnahmen' und 'Kreditkartenabrechnung'","Gesamtauswertung der 'Einnahmen/Ausgaben' sowie 'Einlagen/Entnahmen' ")</f>
        <v xml:space="preserve">Gesamtauswertung der 'Einnahmen/Ausgaben' sowie 'Einlagen/Entnahmen' </v>
      </c>
      <c r="R42" s="1405"/>
      <c r="S42" s="1405"/>
      <c r="T42" s="1405"/>
      <c r="U42" s="1405"/>
      <c r="V42" s="1405"/>
      <c r="W42" s="1405"/>
      <c r="X42" s="1405"/>
      <c r="Y42" s="1405"/>
      <c r="Z42" s="1405"/>
      <c r="AA42" s="1405"/>
      <c r="AB42" s="1406"/>
      <c r="AC42" s="147"/>
    </row>
    <row r="43" spans="1:30" ht="13.35" customHeight="1">
      <c r="A43" s="411" t="s">
        <v>172</v>
      </c>
      <c r="B43" s="407">
        <f>SUM(J3:J40)</f>
        <v>0</v>
      </c>
      <c r="C43" s="968">
        <f>-I48+D40</f>
        <v>0</v>
      </c>
      <c r="D43" s="408"/>
      <c r="E43" s="1336" t="s">
        <v>287</v>
      </c>
      <c r="F43" s="1336"/>
      <c r="G43" s="1337"/>
      <c r="H43" s="430" t="str">
        <f t="shared" ref="H43:H44" si="13">IF(C43&lt;0,+C43,"")</f>
        <v/>
      </c>
      <c r="I43" s="431" t="str">
        <f t="shared" ref="I43:I44" si="14">IF(C43&gt;0,+C43,"")</f>
        <v/>
      </c>
      <c r="J43" s="419">
        <f>+C43</f>
        <v>0</v>
      </c>
      <c r="M43" s="409">
        <v>1</v>
      </c>
      <c r="N43" s="103" t="s">
        <v>172</v>
      </c>
      <c r="O43" s="418"/>
      <c r="Q43" s="299" t="s">
        <v>36</v>
      </c>
      <c r="R43" s="299" t="s">
        <v>37</v>
      </c>
      <c r="S43" s="299" t="s">
        <v>38</v>
      </c>
      <c r="T43" s="299" t="s">
        <v>39</v>
      </c>
      <c r="U43" s="299" t="s">
        <v>40</v>
      </c>
      <c r="V43" s="299" t="s">
        <v>41</v>
      </c>
      <c r="W43" s="299" t="s">
        <v>42</v>
      </c>
      <c r="X43" s="299" t="s">
        <v>43</v>
      </c>
      <c r="Y43" s="299" t="s">
        <v>44</v>
      </c>
      <c r="Z43" s="299" t="s">
        <v>45</v>
      </c>
      <c r="AA43" s="299" t="s">
        <v>46</v>
      </c>
      <c r="AB43" s="299" t="s">
        <v>47</v>
      </c>
      <c r="AC43" s="1409" t="s">
        <v>255</v>
      </c>
      <c r="AD43" s="1410"/>
    </row>
    <row r="44" spans="1:30" s="38" customFormat="1" ht="13.35" customHeight="1" thickBot="1">
      <c r="A44" s="411" t="s">
        <v>172</v>
      </c>
      <c r="B44" s="405">
        <f>IF(ISERROR(B43),1,0)</f>
        <v>0</v>
      </c>
      <c r="C44" s="449">
        <f>-I49+H40</f>
        <v>0</v>
      </c>
      <c r="D44" s="406"/>
      <c r="E44" s="1338" t="s">
        <v>294</v>
      </c>
      <c r="F44" s="1338"/>
      <c r="G44" s="1339"/>
      <c r="H44" s="422" t="str">
        <f t="shared" si="13"/>
        <v/>
      </c>
      <c r="I44" s="427" t="str">
        <f t="shared" si="14"/>
        <v/>
      </c>
      <c r="J44" s="419">
        <f>+C44</f>
        <v>0</v>
      </c>
      <c r="K44" s="225"/>
      <c r="L44" s="225"/>
      <c r="M44" s="409">
        <v>1</v>
      </c>
      <c r="N44" s="103" t="s">
        <v>172</v>
      </c>
      <c r="O44" s="418"/>
      <c r="P44" s="757"/>
      <c r="Q44" s="300">
        <f t="shared" ref="Q44:AB44" si="15">+Q5+Q14+Q67</f>
        <v>0</v>
      </c>
      <c r="R44" s="300">
        <f t="shared" si="15"/>
        <v>0</v>
      </c>
      <c r="S44" s="300">
        <f t="shared" si="15"/>
        <v>0</v>
      </c>
      <c r="T44" s="300">
        <f t="shared" si="15"/>
        <v>0</v>
      </c>
      <c r="U44" s="300">
        <f t="shared" si="15"/>
        <v>0</v>
      </c>
      <c r="V44" s="300">
        <f t="shared" si="15"/>
        <v>0</v>
      </c>
      <c r="W44" s="300">
        <f t="shared" si="15"/>
        <v>0</v>
      </c>
      <c r="X44" s="300">
        <f t="shared" si="15"/>
        <v>0</v>
      </c>
      <c r="Y44" s="300">
        <f t="shared" si="15"/>
        <v>0</v>
      </c>
      <c r="Z44" s="300">
        <f t="shared" si="15"/>
        <v>0</v>
      </c>
      <c r="AA44" s="300">
        <f t="shared" si="15"/>
        <v>0</v>
      </c>
      <c r="AB44" s="300">
        <f t="shared" si="15"/>
        <v>0</v>
      </c>
      <c r="AC44" s="301">
        <f>SUM(Q44:AB44)</f>
        <v>0</v>
      </c>
      <c r="AD44" s="302" t="s">
        <v>140</v>
      </c>
    </row>
    <row r="45" spans="1:30" ht="12.95" customHeight="1" thickTop="1" thickBot="1">
      <c r="A45" s="411" t="s">
        <v>172</v>
      </c>
      <c r="B45" s="789">
        <f>+EÜR!I3</f>
        <v>46023</v>
      </c>
      <c r="C45" s="790"/>
      <c r="D45" s="790"/>
      <c r="E45" s="790"/>
      <c r="F45" s="790"/>
      <c r="G45" s="791" t="s">
        <v>284</v>
      </c>
      <c r="H45" s="792">
        <f>SUM(H4:H38)</f>
        <v>0</v>
      </c>
      <c r="I45" s="793">
        <f>SUM(I4:I38)</f>
        <v>0</v>
      </c>
      <c r="J45" s="448">
        <f>+I45+H45</f>
        <v>0</v>
      </c>
      <c r="M45" s="409">
        <v>1</v>
      </c>
      <c r="N45" s="103" t="s">
        <v>172</v>
      </c>
      <c r="O45" s="418"/>
      <c r="P45" s="758"/>
      <c r="Q45" s="300">
        <f t="shared" ref="Q45:AB45" si="16">+Q6+Q15</f>
        <v>0</v>
      </c>
      <c r="R45" s="300">
        <f t="shared" si="16"/>
        <v>0</v>
      </c>
      <c r="S45" s="300">
        <f t="shared" si="16"/>
        <v>0</v>
      </c>
      <c r="T45" s="300">
        <f t="shared" si="16"/>
        <v>0</v>
      </c>
      <c r="U45" s="300">
        <f t="shared" si="16"/>
        <v>0</v>
      </c>
      <c r="V45" s="300">
        <f t="shared" si="16"/>
        <v>0</v>
      </c>
      <c r="W45" s="300">
        <f t="shared" si="16"/>
        <v>0</v>
      </c>
      <c r="X45" s="300">
        <f t="shared" si="16"/>
        <v>0</v>
      </c>
      <c r="Y45" s="300">
        <f t="shared" si="16"/>
        <v>0</v>
      </c>
      <c r="Z45" s="300">
        <f t="shared" si="16"/>
        <v>0</v>
      </c>
      <c r="AA45" s="300">
        <f t="shared" si="16"/>
        <v>0</v>
      </c>
      <c r="AB45" s="300">
        <f t="shared" si="16"/>
        <v>0</v>
      </c>
      <c r="AC45" s="301">
        <f>SUM(Q45:AB45)</f>
        <v>0</v>
      </c>
      <c r="AD45" s="303" t="s">
        <v>142</v>
      </c>
    </row>
    <row r="46" spans="1:30" ht="13.15" customHeight="1" thickTop="1" thickBot="1">
      <c r="A46" s="411" t="s">
        <v>172</v>
      </c>
      <c r="B46" s="1325" t="str">
        <f>IF(B68&lt;&gt;0,"Die Kreditkartenabrechnung ist aktiv!","")</f>
        <v/>
      </c>
      <c r="C46" s="1325"/>
      <c r="D46" s="1325"/>
      <c r="E46" s="787"/>
      <c r="F46" s="788"/>
      <c r="G46" s="451" t="s">
        <v>297</v>
      </c>
      <c r="M46" s="409">
        <v>1</v>
      </c>
      <c r="N46" s="103" t="s">
        <v>172</v>
      </c>
      <c r="O46" s="418"/>
      <c r="P46" s="758"/>
      <c r="Q46" s="300">
        <f t="shared" ref="Q46:AB46" si="17">+Q7+Q16</f>
        <v>0</v>
      </c>
      <c r="R46" s="300">
        <f t="shared" si="17"/>
        <v>0</v>
      </c>
      <c r="S46" s="300">
        <f t="shared" si="17"/>
        <v>0</v>
      </c>
      <c r="T46" s="300">
        <f t="shared" si="17"/>
        <v>0</v>
      </c>
      <c r="U46" s="300">
        <f t="shared" si="17"/>
        <v>0</v>
      </c>
      <c r="V46" s="300">
        <f t="shared" si="17"/>
        <v>0</v>
      </c>
      <c r="W46" s="300">
        <f t="shared" si="17"/>
        <v>0</v>
      </c>
      <c r="X46" s="300">
        <f t="shared" si="17"/>
        <v>0</v>
      </c>
      <c r="Y46" s="300">
        <f t="shared" si="17"/>
        <v>0</v>
      </c>
      <c r="Z46" s="300">
        <f t="shared" si="17"/>
        <v>0</v>
      </c>
      <c r="AA46" s="300">
        <f t="shared" si="17"/>
        <v>0</v>
      </c>
      <c r="AB46" s="300">
        <f t="shared" si="17"/>
        <v>0</v>
      </c>
      <c r="AC46" s="401">
        <f>SUM(Q46:AB46)</f>
        <v>0</v>
      </c>
      <c r="AD46" s="402" t="s">
        <v>139</v>
      </c>
    </row>
    <row r="47" spans="1:30" ht="12.95" customHeight="1" thickTop="1">
      <c r="A47" s="411" t="s">
        <v>172</v>
      </c>
      <c r="B47" s="1326" t="s">
        <v>285</v>
      </c>
      <c r="C47" s="130" t="s">
        <v>288</v>
      </c>
      <c r="D47" s="439">
        <f>+EÜR!F76</f>
        <v>0</v>
      </c>
      <c r="E47" s="436">
        <f>F40</f>
        <v>0</v>
      </c>
      <c r="F47" s="1381" t="s">
        <v>454</v>
      </c>
      <c r="G47" s="389">
        <v>45934</v>
      </c>
      <c r="H47" s="442" t="s">
        <v>288</v>
      </c>
      <c r="I47" s="443">
        <f>+D47+E47</f>
        <v>0</v>
      </c>
      <c r="J47" s="1342" t="s">
        <v>286</v>
      </c>
      <c r="M47" s="409">
        <v>1</v>
      </c>
      <c r="N47" s="103" t="s">
        <v>172</v>
      </c>
      <c r="O47" s="418"/>
      <c r="Q47" s="300">
        <f t="shared" ref="Q47:AB47" si="18">+Q8+Q17+Q70</f>
        <v>0</v>
      </c>
      <c r="R47" s="300">
        <f t="shared" si="18"/>
        <v>0</v>
      </c>
      <c r="S47" s="300">
        <f t="shared" si="18"/>
        <v>0</v>
      </c>
      <c r="T47" s="300">
        <f t="shared" si="18"/>
        <v>0</v>
      </c>
      <c r="U47" s="300">
        <f t="shared" si="18"/>
        <v>0</v>
      </c>
      <c r="V47" s="300">
        <f t="shared" si="18"/>
        <v>0</v>
      </c>
      <c r="W47" s="300">
        <f t="shared" si="18"/>
        <v>0</v>
      </c>
      <c r="X47" s="300">
        <f t="shared" si="18"/>
        <v>0</v>
      </c>
      <c r="Y47" s="300">
        <f t="shared" si="18"/>
        <v>0</v>
      </c>
      <c r="Z47" s="300">
        <f t="shared" si="18"/>
        <v>0</v>
      </c>
      <c r="AA47" s="300">
        <f t="shared" si="18"/>
        <v>0</v>
      </c>
      <c r="AB47" s="300">
        <f t="shared" si="18"/>
        <v>0</v>
      </c>
      <c r="AC47" s="304">
        <f>SUM(Q47:AB47)</f>
        <v>0</v>
      </c>
      <c r="AD47" s="303" t="s">
        <v>192</v>
      </c>
    </row>
    <row r="48" spans="1:30" ht="12.95" customHeight="1">
      <c r="A48" s="411" t="s">
        <v>172</v>
      </c>
      <c r="B48" s="1327"/>
      <c r="C48" s="131" t="s">
        <v>142</v>
      </c>
      <c r="D48" s="440">
        <f>+EÜR!F77</f>
        <v>0</v>
      </c>
      <c r="E48" s="437">
        <f>-E68+D40</f>
        <v>0</v>
      </c>
      <c r="F48" s="1382"/>
      <c r="G48" s="331">
        <v>0</v>
      </c>
      <c r="H48" s="444" t="s">
        <v>142</v>
      </c>
      <c r="I48" s="445">
        <f>+E48+D48</f>
        <v>0</v>
      </c>
      <c r="J48" s="1343"/>
      <c r="M48" s="409">
        <v>1</v>
      </c>
      <c r="N48" s="103" t="s">
        <v>172</v>
      </c>
      <c r="O48" s="418"/>
      <c r="Q48" s="400">
        <f t="shared" ref="Q48:AB48" si="19">SUM(Q44:Q47)</f>
        <v>0</v>
      </c>
      <c r="R48" s="400">
        <f t="shared" si="19"/>
        <v>0</v>
      </c>
      <c r="S48" s="400">
        <f t="shared" si="19"/>
        <v>0</v>
      </c>
      <c r="T48" s="400">
        <f t="shared" si="19"/>
        <v>0</v>
      </c>
      <c r="U48" s="400">
        <f t="shared" si="19"/>
        <v>0</v>
      </c>
      <c r="V48" s="400">
        <f t="shared" si="19"/>
        <v>0</v>
      </c>
      <c r="W48" s="400">
        <f t="shared" si="19"/>
        <v>0</v>
      </c>
      <c r="X48" s="400">
        <f t="shared" si="19"/>
        <v>0</v>
      </c>
      <c r="Y48" s="400">
        <f t="shared" si="19"/>
        <v>0</v>
      </c>
      <c r="Z48" s="400">
        <f t="shared" si="19"/>
        <v>0</v>
      </c>
      <c r="AA48" s="400">
        <f t="shared" si="19"/>
        <v>0</v>
      </c>
      <c r="AB48" s="400">
        <f t="shared" si="19"/>
        <v>0</v>
      </c>
      <c r="AC48" s="1407" t="s">
        <v>197</v>
      </c>
      <c r="AD48" s="1408"/>
    </row>
    <row r="49" spans="1:30" ht="12.95" customHeight="1" thickBot="1">
      <c r="A49" s="411" t="s">
        <v>172</v>
      </c>
      <c r="B49" s="1328"/>
      <c r="C49" s="132" t="s">
        <v>139</v>
      </c>
      <c r="D49" s="441">
        <f>+EÜR!F78</f>
        <v>0</v>
      </c>
      <c r="E49" s="438">
        <f>H40</f>
        <v>0</v>
      </c>
      <c r="F49" s="1383"/>
      <c r="G49" s="452" t="str">
        <f>IF((+G48-F51)&lt;&gt;0,+G48-F51,"Abgleich OK")</f>
        <v>Abgleich OK</v>
      </c>
      <c r="H49" s="446" t="s">
        <v>139</v>
      </c>
      <c r="I49" s="447">
        <f>+E49+D49</f>
        <v>0</v>
      </c>
      <c r="J49" s="1344"/>
      <c r="M49" s="409">
        <v>1</v>
      </c>
      <c r="N49" s="103" t="s">
        <v>172</v>
      </c>
      <c r="O49" s="418"/>
      <c r="P49" s="756">
        <f>IF(Q49+AC49&lt;&gt;AC51,1,0)</f>
        <v>0</v>
      </c>
      <c r="Q49" s="1365">
        <f>SUM(Q44:AB47)</f>
        <v>0</v>
      </c>
      <c r="R49" s="1366"/>
      <c r="S49" s="1366"/>
      <c r="T49" s="1366"/>
      <c r="U49" s="1366"/>
      <c r="V49" s="1366"/>
      <c r="W49" s="1366"/>
      <c r="X49" s="1366"/>
      <c r="Y49" s="1366"/>
      <c r="Z49" s="1366"/>
      <c r="AA49" s="1366"/>
      <c r="AB49" s="1367"/>
      <c r="AC49" s="931">
        <f>+AC10+AC19+AC68</f>
        <v>0</v>
      </c>
      <c r="AD49" s="932" t="s">
        <v>205</v>
      </c>
    </row>
    <row r="50" spans="1:30" ht="4.1500000000000004" customHeight="1" thickTop="1" thickBot="1">
      <c r="A50" s="411" t="s">
        <v>172</v>
      </c>
      <c r="B50" s="67"/>
      <c r="C50" s="38"/>
      <c r="D50" s="38"/>
      <c r="E50" s="38"/>
      <c r="F50" s="68"/>
      <c r="G50" s="426"/>
      <c r="H50" s="70"/>
      <c r="I50" s="71"/>
      <c r="J50" s="70"/>
      <c r="M50" s="409">
        <v>1</v>
      </c>
      <c r="N50" s="103" t="s">
        <v>172</v>
      </c>
      <c r="O50" s="418"/>
    </row>
    <row r="51" spans="1:30" ht="12" customHeight="1" thickTop="1">
      <c r="A51" s="411" t="s">
        <v>172</v>
      </c>
      <c r="B51" s="420" t="s">
        <v>145</v>
      </c>
      <c r="C51" s="1330" t="s">
        <v>263</v>
      </c>
      <c r="D51" s="1331"/>
      <c r="E51" s="1334">
        <v>0</v>
      </c>
      <c r="F51" s="1373">
        <f>+E51+D47+E47+D68</f>
        <v>0</v>
      </c>
      <c r="G51" s="1374"/>
      <c r="H51" s="1377" t="str">
        <f>IF(J51&lt;0,"Abfluss:","Zufluss:")</f>
        <v>Zufluss:</v>
      </c>
      <c r="I51" s="1378"/>
      <c r="J51" s="1340">
        <f>+F51-E51</f>
        <v>0</v>
      </c>
      <c r="M51" s="409">
        <v>1</v>
      </c>
      <c r="N51" s="103" t="s">
        <v>172</v>
      </c>
      <c r="O51" s="418"/>
      <c r="Q51" s="320">
        <f>+Q10+Q19+Q68</f>
        <v>0</v>
      </c>
      <c r="R51" s="1400" t="s">
        <v>265</v>
      </c>
      <c r="S51" s="1400"/>
      <c r="T51" s="1398">
        <f>+Q51+Q52</f>
        <v>0</v>
      </c>
      <c r="U51" s="1398"/>
      <c r="V51" s="1363" t="s">
        <v>290</v>
      </c>
      <c r="W51" s="1363"/>
      <c r="X51" s="1363"/>
      <c r="Y51" s="1402">
        <f>+Q2</f>
        <v>46023</v>
      </c>
      <c r="Z51" s="322"/>
      <c r="AA51" s="305"/>
      <c r="AB51" s="306"/>
      <c r="AC51" s="1356">
        <f>+Q49+AC49</f>
        <v>0</v>
      </c>
      <c r="AD51" s="1356"/>
    </row>
    <row r="52" spans="1:30" ht="12" customHeight="1" thickBot="1">
      <c r="A52" s="411" t="s">
        <v>172</v>
      </c>
      <c r="B52" s="421" t="s">
        <v>140</v>
      </c>
      <c r="C52" s="1332"/>
      <c r="D52" s="1333"/>
      <c r="E52" s="1335"/>
      <c r="F52" s="1375"/>
      <c r="G52" s="1376"/>
      <c r="H52" s="1379"/>
      <c r="I52" s="1380"/>
      <c r="J52" s="1341"/>
      <c r="M52" s="409">
        <v>1</v>
      </c>
      <c r="N52" s="103" t="s">
        <v>172</v>
      </c>
      <c r="O52" s="418"/>
      <c r="Q52" s="321">
        <f>+AC10+AC19+AC68</f>
        <v>0</v>
      </c>
      <c r="R52" s="1401" t="s">
        <v>264</v>
      </c>
      <c r="S52" s="1401"/>
      <c r="T52" s="1399"/>
      <c r="U52" s="1399"/>
      <c r="V52" s="1364"/>
      <c r="W52" s="1364"/>
      <c r="X52" s="1364"/>
      <c r="Y52" s="1403"/>
      <c r="Z52" s="307"/>
      <c r="AA52" s="307"/>
      <c r="AB52" s="308"/>
    </row>
    <row r="53" spans="1:30" ht="5.0999999999999996" customHeight="1" thickTop="1" thickBot="1">
      <c r="A53" s="412" t="s">
        <v>160</v>
      </c>
      <c r="B53" s="67"/>
      <c r="C53" s="38"/>
      <c r="D53" s="38"/>
      <c r="E53" s="38"/>
      <c r="F53" s="68"/>
      <c r="G53" s="69"/>
      <c r="H53" s="70"/>
      <c r="I53" s="71"/>
      <c r="J53" s="70"/>
      <c r="M53" s="409">
        <v>1</v>
      </c>
      <c r="N53" s="103" t="s">
        <v>175</v>
      </c>
      <c r="O53" s="418"/>
    </row>
    <row r="54" spans="1:30" ht="11.65" customHeight="1" thickTop="1" thickBot="1">
      <c r="A54" s="412" t="s">
        <v>160</v>
      </c>
      <c r="B54" s="897" t="s">
        <v>1</v>
      </c>
      <c r="C54" s="770" t="s">
        <v>451</v>
      </c>
      <c r="D54" s="924" t="s">
        <v>4</v>
      </c>
      <c r="E54" s="905" t="s">
        <v>452</v>
      </c>
      <c r="F54" s="782" t="s">
        <v>350</v>
      </c>
      <c r="G54" s="904" t="s">
        <v>450</v>
      </c>
      <c r="H54" s="895" t="s">
        <v>1</v>
      </c>
      <c r="I54" s="900" t="s">
        <v>453</v>
      </c>
      <c r="J54" s="899" t="s">
        <v>4</v>
      </c>
      <c r="M54" s="409">
        <v>1</v>
      </c>
      <c r="N54" s="103" t="s">
        <v>175</v>
      </c>
      <c r="O54" s="418"/>
    </row>
    <row r="55" spans="1:30" s="66" customFormat="1" ht="11.65" customHeight="1" thickTop="1">
      <c r="A55" s="412" t="s">
        <v>160</v>
      </c>
      <c r="B55" s="773"/>
      <c r="C55" s="771"/>
      <c r="D55" s="922"/>
      <c r="E55" s="906">
        <f>+EÜR!$I$3</f>
        <v>46023</v>
      </c>
      <c r="F55" s="898">
        <f>+Q2-10</f>
        <v>46013</v>
      </c>
      <c r="G55" s="918">
        <f>+C55+I55</f>
        <v>0</v>
      </c>
      <c r="H55" s="896"/>
      <c r="I55" s="901"/>
      <c r="J55" s="919"/>
      <c r="K55" s="298">
        <f t="shared" ref="K55:K67" si="20">IF(B55&lt;$Q$2,0,IF(B55&lt;$R$2,1,IF(B55&lt;$S$2,2,IF(B55&lt;$T$2,3,IF(B55&lt;$U$2,4,IF(B55&lt;$V$2,5,IF(B55&lt;$W$2,6,IF(B55&lt;$X$2,7,IF(B55&lt;$Y$2,8,IF(B55&lt;$Z$2,9,IF(B55&lt;$AA$2,10,IF(B55&lt;$AB$2,11,IF(B55&lt;=$AB$3,12,0)))))))))))))</f>
        <v>0</v>
      </c>
      <c r="L55" s="298">
        <f t="shared" ref="L55:L67" si="21">IF(H55&lt;$Q$2,0,IF(H55&lt;$R$2,1,IF(H55&lt;$S$2,2,IF(H55&lt;$T$2,3,IF(H55&lt;$U$2,4,IF(H55&lt;$V$2,5,IF(H55&lt;$W$2,6,IF(H55&lt;$X$2,7,IF(H55&lt;$Y$2,8,IF(H55&lt;$Z$2,9,IF(H55&lt;$AA$2,10,IF(H55&lt;$AB$2,11,IF(H55&lt;=$AB$3,12,0)))))))))))))</f>
        <v>0</v>
      </c>
      <c r="M55" s="409">
        <v>1</v>
      </c>
      <c r="N55" s="103" t="s">
        <v>175</v>
      </c>
      <c r="O55" s="418"/>
      <c r="P55" s="757"/>
    </row>
    <row r="56" spans="1:30" s="66" customFormat="1" ht="11.65" customHeight="1">
      <c r="A56" s="412" t="s">
        <v>160</v>
      </c>
      <c r="B56" s="773"/>
      <c r="C56" s="772"/>
      <c r="D56" s="923"/>
      <c r="E56" s="907">
        <f>+EÜR!$I$3</f>
        <v>46023</v>
      </c>
      <c r="F56" s="898">
        <f>+Q2</f>
        <v>46023</v>
      </c>
      <c r="G56" s="918">
        <f t="shared" ref="G56:G66" si="22">+C56+I56</f>
        <v>0</v>
      </c>
      <c r="H56" s="896"/>
      <c r="I56" s="902"/>
      <c r="J56" s="920"/>
      <c r="K56" s="298">
        <f t="shared" si="20"/>
        <v>0</v>
      </c>
      <c r="L56" s="298">
        <f t="shared" si="21"/>
        <v>0</v>
      </c>
      <c r="M56" s="409">
        <v>1</v>
      </c>
      <c r="N56" s="103" t="s">
        <v>175</v>
      </c>
      <c r="O56" s="418"/>
      <c r="P56" s="758">
        <f>IF(AC67+AC68&lt;&gt;J68,1,0)</f>
        <v>0</v>
      </c>
    </row>
    <row r="57" spans="1:30" s="66" customFormat="1" ht="11.65" customHeight="1">
      <c r="A57" s="412" t="s">
        <v>160</v>
      </c>
      <c r="B57" s="773"/>
      <c r="C57" s="772"/>
      <c r="D57" s="923"/>
      <c r="E57" s="908">
        <f>+EÜR!$I$3</f>
        <v>46023</v>
      </c>
      <c r="F57" s="898">
        <f>+R2</f>
        <v>46054</v>
      </c>
      <c r="G57" s="918">
        <f t="shared" si="22"/>
        <v>0</v>
      </c>
      <c r="H57" s="896"/>
      <c r="I57" s="902"/>
      <c r="J57" s="920"/>
      <c r="K57" s="298">
        <f t="shared" si="20"/>
        <v>0</v>
      </c>
      <c r="L57" s="298">
        <f t="shared" si="21"/>
        <v>0</v>
      </c>
      <c r="M57" s="409">
        <v>1</v>
      </c>
      <c r="N57" s="103" t="s">
        <v>175</v>
      </c>
      <c r="O57" s="418"/>
      <c r="P57" s="756">
        <f>IF(Q68+AC68&lt;&gt;J68,1,0)</f>
        <v>0</v>
      </c>
    </row>
    <row r="58" spans="1:30" s="66" customFormat="1" ht="11.65" customHeight="1">
      <c r="A58" s="412" t="s">
        <v>160</v>
      </c>
      <c r="B58" s="773"/>
      <c r="C58" s="772"/>
      <c r="D58" s="923"/>
      <c r="E58" s="909">
        <f>+EÜR!$I$3</f>
        <v>46023</v>
      </c>
      <c r="F58" s="898">
        <f>+S2</f>
        <v>46082</v>
      </c>
      <c r="G58" s="918">
        <f t="shared" si="22"/>
        <v>0</v>
      </c>
      <c r="H58" s="896"/>
      <c r="I58" s="902"/>
      <c r="J58" s="920"/>
      <c r="K58" s="298">
        <f t="shared" si="20"/>
        <v>0</v>
      </c>
      <c r="L58" s="298">
        <f t="shared" si="21"/>
        <v>0</v>
      </c>
      <c r="M58" s="409">
        <v>1</v>
      </c>
      <c r="N58" s="103" t="s">
        <v>175</v>
      </c>
      <c r="O58" s="418"/>
      <c r="P58" s="757"/>
    </row>
    <row r="59" spans="1:30" s="66" customFormat="1" ht="11.65" customHeight="1">
      <c r="A59" s="412" t="s">
        <v>160</v>
      </c>
      <c r="B59" s="773"/>
      <c r="C59" s="772"/>
      <c r="D59" s="923"/>
      <c r="E59" s="910">
        <f>+EÜR!$I$3</f>
        <v>46023</v>
      </c>
      <c r="F59" s="898">
        <f>+T2</f>
        <v>46113</v>
      </c>
      <c r="G59" s="918">
        <f t="shared" si="22"/>
        <v>0</v>
      </c>
      <c r="H59" s="896"/>
      <c r="I59" s="902"/>
      <c r="J59" s="920"/>
      <c r="K59" s="298">
        <f t="shared" si="20"/>
        <v>0</v>
      </c>
      <c r="L59" s="298">
        <f t="shared" si="21"/>
        <v>0</v>
      </c>
      <c r="M59" s="409">
        <v>1</v>
      </c>
      <c r="N59" s="103" t="s">
        <v>175</v>
      </c>
      <c r="O59" s="418"/>
      <c r="P59" s="757"/>
    </row>
    <row r="60" spans="1:30" s="66" customFormat="1" ht="11.65" customHeight="1">
      <c r="A60" s="412" t="s">
        <v>160</v>
      </c>
      <c r="B60" s="773"/>
      <c r="C60" s="772"/>
      <c r="D60" s="923"/>
      <c r="E60" s="911">
        <f>+EÜR!$I$3</f>
        <v>46023</v>
      </c>
      <c r="F60" s="898">
        <f>+U2</f>
        <v>46143</v>
      </c>
      <c r="G60" s="918">
        <f t="shared" si="22"/>
        <v>0</v>
      </c>
      <c r="H60" s="896"/>
      <c r="I60" s="902"/>
      <c r="J60" s="920"/>
      <c r="K60" s="298">
        <f t="shared" si="20"/>
        <v>0</v>
      </c>
      <c r="L60" s="298">
        <f t="shared" si="21"/>
        <v>0</v>
      </c>
      <c r="M60" s="409">
        <v>1</v>
      </c>
      <c r="N60" s="103" t="s">
        <v>175</v>
      </c>
      <c r="O60" s="418"/>
      <c r="P60" s="757"/>
    </row>
    <row r="61" spans="1:30" s="66" customFormat="1" ht="11.65" customHeight="1">
      <c r="A61" s="412" t="s">
        <v>160</v>
      </c>
      <c r="B61" s="773"/>
      <c r="C61" s="772"/>
      <c r="D61" s="923"/>
      <c r="E61" s="912">
        <f>+EÜR!$I$3</f>
        <v>46023</v>
      </c>
      <c r="F61" s="898">
        <f>+V2</f>
        <v>46174</v>
      </c>
      <c r="G61" s="918">
        <f t="shared" si="22"/>
        <v>0</v>
      </c>
      <c r="H61" s="896"/>
      <c r="I61" s="902"/>
      <c r="J61" s="920"/>
      <c r="K61" s="298">
        <f t="shared" si="20"/>
        <v>0</v>
      </c>
      <c r="L61" s="298">
        <f t="shared" si="21"/>
        <v>0</v>
      </c>
      <c r="M61" s="409">
        <v>1</v>
      </c>
      <c r="N61" s="103" t="s">
        <v>175</v>
      </c>
      <c r="O61" s="418"/>
      <c r="P61" s="757"/>
    </row>
    <row r="62" spans="1:30" s="66" customFormat="1" ht="11.65" customHeight="1">
      <c r="A62" s="412" t="s">
        <v>160</v>
      </c>
      <c r="B62" s="773"/>
      <c r="C62" s="772"/>
      <c r="D62" s="923"/>
      <c r="E62" s="913">
        <f>+EÜR!$I$3</f>
        <v>46023</v>
      </c>
      <c r="F62" s="898">
        <f>+W2</f>
        <v>46204</v>
      </c>
      <c r="G62" s="918">
        <f t="shared" si="22"/>
        <v>0</v>
      </c>
      <c r="H62" s="896"/>
      <c r="I62" s="902"/>
      <c r="J62" s="920"/>
      <c r="K62" s="298">
        <f t="shared" si="20"/>
        <v>0</v>
      </c>
      <c r="L62" s="298">
        <f t="shared" si="21"/>
        <v>0</v>
      </c>
      <c r="M62" s="409">
        <v>1</v>
      </c>
      <c r="N62" s="103" t="s">
        <v>175</v>
      </c>
      <c r="O62" s="418"/>
      <c r="P62" s="757"/>
    </row>
    <row r="63" spans="1:30" s="66" customFormat="1" ht="11.65" customHeight="1">
      <c r="A63" s="412" t="s">
        <v>160</v>
      </c>
      <c r="B63" s="773"/>
      <c r="C63" s="772"/>
      <c r="D63" s="923"/>
      <c r="E63" s="914">
        <f>+EÜR!$I$3</f>
        <v>46023</v>
      </c>
      <c r="F63" s="898">
        <f>+X2</f>
        <v>46235</v>
      </c>
      <c r="G63" s="918">
        <f t="shared" si="22"/>
        <v>0</v>
      </c>
      <c r="H63" s="896"/>
      <c r="I63" s="902"/>
      <c r="J63" s="920"/>
      <c r="K63" s="298">
        <f t="shared" si="20"/>
        <v>0</v>
      </c>
      <c r="L63" s="298">
        <f t="shared" si="21"/>
        <v>0</v>
      </c>
      <c r="M63" s="409">
        <v>1</v>
      </c>
      <c r="N63" s="103" t="s">
        <v>175</v>
      </c>
      <c r="O63" s="418"/>
      <c r="P63" s="757"/>
    </row>
    <row r="64" spans="1:30" s="66" customFormat="1" ht="11.65" customHeight="1">
      <c r="A64" s="412" t="s">
        <v>160</v>
      </c>
      <c r="B64" s="773"/>
      <c r="C64" s="772"/>
      <c r="D64" s="923"/>
      <c r="E64" s="915">
        <f>+EÜR!$I$3</f>
        <v>46023</v>
      </c>
      <c r="F64" s="898">
        <f>+Y2</f>
        <v>46266</v>
      </c>
      <c r="G64" s="918">
        <f t="shared" si="22"/>
        <v>0</v>
      </c>
      <c r="H64" s="896"/>
      <c r="I64" s="902"/>
      <c r="J64" s="920"/>
      <c r="K64" s="298">
        <f t="shared" si="20"/>
        <v>0</v>
      </c>
      <c r="L64" s="298">
        <f t="shared" si="21"/>
        <v>0</v>
      </c>
      <c r="M64" s="409">
        <v>1</v>
      </c>
      <c r="N64" s="103" t="s">
        <v>175</v>
      </c>
      <c r="O64" s="418"/>
      <c r="P64" s="757"/>
    </row>
    <row r="65" spans="1:30" s="66" customFormat="1" ht="11.65" customHeight="1">
      <c r="A65" s="412" t="s">
        <v>160</v>
      </c>
      <c r="B65" s="773"/>
      <c r="C65" s="772"/>
      <c r="D65" s="923"/>
      <c r="E65" s="916">
        <f>+EÜR!$I$3</f>
        <v>46023</v>
      </c>
      <c r="F65" s="898">
        <f>+Z2</f>
        <v>46296</v>
      </c>
      <c r="G65" s="918">
        <f t="shared" si="22"/>
        <v>0</v>
      </c>
      <c r="H65" s="896"/>
      <c r="I65" s="902"/>
      <c r="J65" s="920"/>
      <c r="K65" s="298">
        <f t="shared" ref="K65:K66" si="23">IF(B65&lt;$Q$2,0,IF(B65&lt;$R$2,1,IF(B65&lt;$S$2,2,IF(B65&lt;$T$2,3,IF(B65&lt;$U$2,4,IF(B65&lt;$V$2,5,IF(B65&lt;$W$2,6,IF(B65&lt;$X$2,7,IF(B65&lt;$Y$2,8,IF(B65&lt;$Z$2,9,IF(B65&lt;$AA$2,10,IF(B65&lt;$AB$2,11,IF(B65&lt;=$AB$3,12,0)))))))))))))</f>
        <v>0</v>
      </c>
      <c r="L65" s="298">
        <f t="shared" ref="L65:L66" si="24">IF(H65&lt;$Q$2,0,IF(H65&lt;$R$2,1,IF(H65&lt;$S$2,2,IF(H65&lt;$T$2,3,IF(H65&lt;$U$2,4,IF(H65&lt;$V$2,5,IF(H65&lt;$W$2,6,IF(H65&lt;$X$2,7,IF(H65&lt;$Y$2,8,IF(H65&lt;$Z$2,9,IF(H65&lt;$AA$2,10,IF(H65&lt;$AB$2,11,IF(H65&lt;=$AB$3,12,0)))))))))))))</f>
        <v>0</v>
      </c>
      <c r="M65" s="409">
        <v>1</v>
      </c>
      <c r="N65" s="103" t="s">
        <v>175</v>
      </c>
      <c r="O65" s="418"/>
      <c r="P65" s="757"/>
      <c r="Q65" s="1360" t="s">
        <v>455</v>
      </c>
      <c r="R65" s="1361"/>
      <c r="S65" s="1361"/>
      <c r="T65" s="1361"/>
      <c r="U65" s="1361"/>
      <c r="V65" s="1361"/>
      <c r="W65" s="1361"/>
      <c r="X65" s="1361"/>
      <c r="Y65" s="1361"/>
      <c r="Z65" s="1361"/>
      <c r="AA65" s="1361"/>
      <c r="AB65" s="1362"/>
      <c r="AC65" s="939"/>
      <c r="AD65" s="939"/>
    </row>
    <row r="66" spans="1:30" s="66" customFormat="1" ht="11.65" customHeight="1">
      <c r="A66" s="412" t="s">
        <v>160</v>
      </c>
      <c r="B66" s="773"/>
      <c r="C66" s="772"/>
      <c r="D66" s="923"/>
      <c r="E66" s="917">
        <f>+EÜR!$I$3</f>
        <v>46023</v>
      </c>
      <c r="F66" s="898">
        <f>+AA2</f>
        <v>46327</v>
      </c>
      <c r="G66" s="918">
        <f t="shared" si="22"/>
        <v>0</v>
      </c>
      <c r="H66" s="896"/>
      <c r="I66" s="902"/>
      <c r="J66" s="920"/>
      <c r="K66" s="298">
        <f t="shared" si="23"/>
        <v>0</v>
      </c>
      <c r="L66" s="298">
        <f t="shared" si="24"/>
        <v>0</v>
      </c>
      <c r="M66" s="409">
        <v>1</v>
      </c>
      <c r="N66" s="103" t="s">
        <v>175</v>
      </c>
      <c r="O66" s="418"/>
      <c r="P66" s="757"/>
      <c r="Q66" s="937" t="s">
        <v>36</v>
      </c>
      <c r="R66" s="937" t="s">
        <v>37</v>
      </c>
      <c r="S66" s="937" t="s">
        <v>38</v>
      </c>
      <c r="T66" s="937" t="s">
        <v>39</v>
      </c>
      <c r="U66" s="937" t="s">
        <v>40</v>
      </c>
      <c r="V66" s="937" t="s">
        <v>41</v>
      </c>
      <c r="W66" s="937" t="s">
        <v>42</v>
      </c>
      <c r="X66" s="937" t="s">
        <v>43</v>
      </c>
      <c r="Y66" s="937" t="s">
        <v>44</v>
      </c>
      <c r="Z66" s="937" t="s">
        <v>45</v>
      </c>
      <c r="AA66" s="937" t="s">
        <v>46</v>
      </c>
      <c r="AB66" s="937" t="s">
        <v>47</v>
      </c>
      <c r="AC66" s="1396" t="s">
        <v>255</v>
      </c>
      <c r="AD66" s="1397"/>
    </row>
    <row r="67" spans="1:30" s="66" customFormat="1" ht="11.65" customHeight="1" thickBot="1">
      <c r="A67" s="412" t="s">
        <v>160</v>
      </c>
      <c r="B67" s="780"/>
      <c r="C67" s="781"/>
      <c r="D67" s="956"/>
      <c r="E67" s="927"/>
      <c r="F67" s="926">
        <f>+AB2</f>
        <v>46357</v>
      </c>
      <c r="G67" s="925"/>
      <c r="H67" s="896"/>
      <c r="I67" s="903"/>
      <c r="J67" s="921"/>
      <c r="K67" s="298">
        <f t="shared" si="20"/>
        <v>0</v>
      </c>
      <c r="L67" s="298">
        <f t="shared" si="21"/>
        <v>0</v>
      </c>
      <c r="M67" s="409">
        <v>1</v>
      </c>
      <c r="N67" s="103" t="s">
        <v>175</v>
      </c>
      <c r="O67" s="418"/>
      <c r="P67" s="757"/>
      <c r="Q67" s="938">
        <f>+G55</f>
        <v>0</v>
      </c>
      <c r="R67" s="938">
        <f>+G56</f>
        <v>0</v>
      </c>
      <c r="S67" s="938">
        <f>+G57</f>
        <v>0</v>
      </c>
      <c r="T67" s="938">
        <f>+G58</f>
        <v>0</v>
      </c>
      <c r="U67" s="938">
        <f>+G59</f>
        <v>0</v>
      </c>
      <c r="V67" s="938">
        <f>+G60</f>
        <v>0</v>
      </c>
      <c r="W67" s="938">
        <f>+G61</f>
        <v>0</v>
      </c>
      <c r="X67" s="938">
        <f>+G62</f>
        <v>0</v>
      </c>
      <c r="Y67" s="938">
        <f>+G63</f>
        <v>0</v>
      </c>
      <c r="Z67" s="938">
        <f>+G64</f>
        <v>0</v>
      </c>
      <c r="AA67" s="938">
        <f>+G65</f>
        <v>0</v>
      </c>
      <c r="AB67" s="938">
        <f>+G66</f>
        <v>0</v>
      </c>
      <c r="AC67" s="940">
        <f>SUM(Q67:AB67)</f>
        <v>0</v>
      </c>
      <c r="AD67" s="941" t="s">
        <v>289</v>
      </c>
    </row>
    <row r="68" spans="1:30" ht="12" customHeight="1" thickTop="1" thickBot="1">
      <c r="A68" s="412" t="s">
        <v>160</v>
      </c>
      <c r="B68" s="1321">
        <f>SUMIF(D55:D67,"Konto",C55:C67)</f>
        <v>0</v>
      </c>
      <c r="C68" s="1322"/>
      <c r="D68" s="1323"/>
      <c r="E68" s="1319">
        <f>SUMIF(D55:D66,"Konto",G55:G67)</f>
        <v>0</v>
      </c>
      <c r="F68" s="1319"/>
      <c r="G68" s="1320"/>
      <c r="H68" s="1393">
        <f>SUMIF(J55:J67,"Konto",I55:I67)</f>
        <v>0</v>
      </c>
      <c r="I68" s="1394"/>
      <c r="J68" s="1395"/>
      <c r="M68" s="409">
        <v>1</v>
      </c>
      <c r="N68" s="103" t="s">
        <v>175</v>
      </c>
      <c r="O68" s="418"/>
      <c r="Q68" s="1357">
        <f>SUM(Q67:AB67)</f>
        <v>0</v>
      </c>
      <c r="R68" s="1358"/>
      <c r="S68" s="1358"/>
      <c r="T68" s="1358"/>
      <c r="U68" s="1358"/>
      <c r="V68" s="1358"/>
      <c r="W68" s="1358"/>
      <c r="X68" s="1358"/>
      <c r="Y68" s="1358"/>
      <c r="Z68" s="1358"/>
      <c r="AA68" s="1358"/>
      <c r="AB68" s="1359"/>
      <c r="AC68" s="931">
        <f>SUM(G54:G67)-E68</f>
        <v>0</v>
      </c>
      <c r="AD68" s="932" t="s">
        <v>205</v>
      </c>
    </row>
    <row r="69" spans="1:30" ht="13.15" thickTop="1">
      <c r="O69" s="418"/>
    </row>
  </sheetData>
  <sheetProtection formatCells="0" sort="0" autoFilter="0"/>
  <autoFilter ref="K2:N68" xr:uid="{B14F63AB-7925-4573-B4B8-EBEBF6F9DA43}"/>
  <sortState xmlns:xlrd2="http://schemas.microsoft.com/office/spreadsheetml/2017/richdata2" ref="B4:I22">
    <sortCondition ref="B4:B22"/>
  </sortState>
  <mergeCells count="48">
    <mergeCell ref="AC66:AD66"/>
    <mergeCell ref="Q11:AB11"/>
    <mergeCell ref="T51:U52"/>
    <mergeCell ref="R51:S51"/>
    <mergeCell ref="R52:S52"/>
    <mergeCell ref="Y51:Y52"/>
    <mergeCell ref="AC51:AD51"/>
    <mergeCell ref="Q42:AB42"/>
    <mergeCell ref="AC48:AD48"/>
    <mergeCell ref="AC43:AD43"/>
    <mergeCell ref="Q12:AB12"/>
    <mergeCell ref="AC11:AD11"/>
    <mergeCell ref="Q68:AB68"/>
    <mergeCell ref="Q65:AB65"/>
    <mergeCell ref="V51:X52"/>
    <mergeCell ref="Q49:AB49"/>
    <mergeCell ref="C2:I2"/>
    <mergeCell ref="F40:G40"/>
    <mergeCell ref="H40:I40"/>
    <mergeCell ref="F51:G52"/>
    <mergeCell ref="H51:I52"/>
    <mergeCell ref="F47:F49"/>
    <mergeCell ref="D40:E40"/>
    <mergeCell ref="B39:C40"/>
    <mergeCell ref="D42:G42"/>
    <mergeCell ref="Q10:AB10"/>
    <mergeCell ref="O4:O10"/>
    <mergeCell ref="H68:J68"/>
    <mergeCell ref="AC2:AD2"/>
    <mergeCell ref="C51:D52"/>
    <mergeCell ref="E51:E52"/>
    <mergeCell ref="E43:G43"/>
    <mergeCell ref="E44:G44"/>
    <mergeCell ref="J51:J52"/>
    <mergeCell ref="J47:J49"/>
    <mergeCell ref="AC4:AD4"/>
    <mergeCell ref="AC9:AD9"/>
    <mergeCell ref="O12:O19"/>
    <mergeCell ref="AC13:AD13"/>
    <mergeCell ref="AC18:AD18"/>
    <mergeCell ref="Q19:AB19"/>
    <mergeCell ref="Q20:AB20"/>
    <mergeCell ref="AC20:AD20"/>
    <mergeCell ref="E68:G68"/>
    <mergeCell ref="B68:D68"/>
    <mergeCell ref="A39:A40"/>
    <mergeCell ref="B46:D46"/>
    <mergeCell ref="B47:B49"/>
  </mergeCells>
  <conditionalFormatting sqref="A4:A38">
    <cfRule type="expression" dxfId="178" priority="25">
      <formula>ISERROR(J4)</formula>
    </cfRule>
  </conditionalFormatting>
  <conditionalFormatting sqref="A39:A40">
    <cfRule type="expression" dxfId="177" priority="12">
      <formula>$B$42&lt;&gt;0</formula>
    </cfRule>
  </conditionalFormatting>
  <conditionalFormatting sqref="B39">
    <cfRule type="expression" dxfId="176" priority="18">
      <formula>$B$42&lt;&gt;0</formula>
    </cfRule>
  </conditionalFormatting>
  <conditionalFormatting sqref="D40:H40">
    <cfRule type="cellIs" dxfId="175" priority="43" operator="lessThan">
      <formula>0</formula>
    </cfRule>
  </conditionalFormatting>
  <conditionalFormatting sqref="D39:J40">
    <cfRule type="expression" dxfId="174" priority="11">
      <formula>$B$42&lt;&gt;0</formula>
    </cfRule>
  </conditionalFormatting>
  <conditionalFormatting sqref="G49">
    <cfRule type="cellIs" dxfId="173" priority="13" operator="notEqual">
      <formula>"Abgleich OK"</formula>
    </cfRule>
  </conditionalFormatting>
  <conditionalFormatting sqref="G55:G67">
    <cfRule type="cellIs" dxfId="172" priority="7" operator="equal">
      <formula>0</formula>
    </cfRule>
  </conditionalFormatting>
  <conditionalFormatting sqref="H51:I52">
    <cfRule type="expression" dxfId="171" priority="14">
      <formula>$J$51&lt;0</formula>
    </cfRule>
  </conditionalFormatting>
  <conditionalFormatting sqref="J4:J38">
    <cfRule type="expression" dxfId="170" priority="107">
      <formula>B4=""</formula>
    </cfRule>
  </conditionalFormatting>
  <conditionalFormatting sqref="K55:L67">
    <cfRule type="expression" dxfId="169" priority="60">
      <formula>$B$50="x"</formula>
    </cfRule>
  </conditionalFormatting>
  <conditionalFormatting sqref="M2:M68 A3">
    <cfRule type="cellIs" dxfId="168" priority="106" operator="equal">
      <formula>""</formula>
    </cfRule>
  </conditionalFormatting>
  <conditionalFormatting sqref="N4:N39">
    <cfRule type="expression" dxfId="167" priority="23">
      <formula>ISERROR(J4)</formula>
    </cfRule>
  </conditionalFormatting>
  <conditionalFormatting sqref="N4:N40 A4:A38 A42:A52">
    <cfRule type="cellIs" dxfId="166" priority="26" operator="equal">
      <formula>""</formula>
    </cfRule>
  </conditionalFormatting>
  <conditionalFormatting sqref="N39">
    <cfRule type="expression" dxfId="165" priority="10">
      <formula>$B$42&lt;&gt;0</formula>
    </cfRule>
  </conditionalFormatting>
  <conditionalFormatting sqref="N40">
    <cfRule type="expression" dxfId="164" priority="16">
      <formula>$B$42&lt;&gt;0</formula>
    </cfRule>
  </conditionalFormatting>
  <conditionalFormatting sqref="O2:AD12 P13:AD19 O20:AD53 O54:P57 O58:AD68">
    <cfRule type="expression" dxfId="163" priority="1">
      <formula>$P$3=1</formula>
    </cfRule>
  </conditionalFormatting>
  <conditionalFormatting sqref="P45:P46">
    <cfRule type="cellIs" dxfId="162" priority="79" operator="notEqual">
      <formula>0</formula>
    </cfRule>
  </conditionalFormatting>
  <conditionalFormatting sqref="Q5:AB8">
    <cfRule type="cellIs" dxfId="161" priority="33" operator="equal">
      <formula>0</formula>
    </cfRule>
  </conditionalFormatting>
  <conditionalFormatting sqref="Q14:AB17">
    <cfRule type="cellIs" dxfId="160" priority="4" operator="equal">
      <formula>0</formula>
    </cfRule>
  </conditionalFormatting>
  <conditionalFormatting sqref="Q44:AB47">
    <cfRule type="cellIs" dxfId="159" priority="3" operator="equal">
      <formula>0</formula>
    </cfRule>
  </conditionalFormatting>
  <conditionalFormatting sqref="Q67:AB67">
    <cfRule type="cellIs" dxfId="158" priority="2" operator="equal">
      <formula>0</formula>
    </cfRule>
  </conditionalFormatting>
  <conditionalFormatting sqref="AC45">
    <cfRule type="expression" dxfId="157" priority="8510">
      <formula>$P$45&lt;&gt;0</formula>
    </cfRule>
  </conditionalFormatting>
  <conditionalFormatting sqref="AC46">
    <cfRule type="expression" dxfId="156" priority="8619">
      <formula>$P$46&lt;&gt;0</formula>
    </cfRule>
  </conditionalFormatting>
  <dataValidations count="2">
    <dataValidation type="list" allowBlank="1" showInputMessage="1" showErrorMessage="1" sqref="G40 G4:G38" xr:uid="{A8439514-763D-4A50-80F3-5E81751411CF}">
      <formula1>"Konto,Geldbeutel,Kreditkarte,x"</formula1>
    </dataValidation>
    <dataValidation type="list" allowBlank="1" showInputMessage="1" showErrorMessage="1" sqref="J55:J67 D55:D67" xr:uid="{B79AAE46-2CC6-47EA-B802-74FAD20EC632}">
      <formula1>"Konto"</formula1>
    </dataValidation>
  </dataValidations>
  <hyperlinks>
    <hyperlink ref="J2" location="EÜR!A1" display="EÜR" xr:uid="{1B14A5F9-C8D5-4727-86C8-88C3CA1E7AEA}"/>
  </hyperlinks>
  <printOptions horizontalCentered="1"/>
  <pageMargins left="0" right="0" top="0" bottom="0.31496062992125984" header="0" footer="0"/>
  <pageSetup paperSize="9" orientation="portrait" r:id="rId1"/>
  <headerFooter>
    <oddFooter>&amp;L&amp;"Arial,Standard"&amp;8Datei: &amp;Z&amp;F/&amp;A&amp;C&amp;"Arial,Standard"&amp;8Seite &amp;P von &amp;N&amp;R&amp;"Arial,Standard"&amp;8Druck: &amp;D&amp;T Uhr</oddFooter>
  </headerFooter>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CB3116-E485-4E97-9F8B-49B654649141}">
  <sheetPr codeName="Tabelle43">
    <tabColor theme="0" tint="-0.499984740745262"/>
    <pageSetUpPr autoPageBreaks="0"/>
  </sheetPr>
  <dimension ref="A1:L44"/>
  <sheetViews>
    <sheetView showGridLines="0" showRowColHeaders="0" zoomScaleNormal="100" workbookViewId="0"/>
  </sheetViews>
  <sheetFormatPr baseColWidth="10" defaultColWidth="9.77734375" defaultRowHeight="13.5"/>
  <cols>
    <col min="1" max="1" width="0.5" style="120" customWidth="1"/>
    <col min="2" max="2" width="2.38671875" style="126" customWidth="1"/>
    <col min="3" max="3" width="15.609375" style="126" customWidth="1"/>
    <col min="4" max="5" width="11.33203125" style="121" customWidth="1"/>
    <col min="6" max="6" width="11.33203125" style="122" customWidth="1"/>
    <col min="7" max="10" width="11.33203125" style="123" customWidth="1"/>
    <col min="11" max="11" width="11.33203125" style="124" customWidth="1"/>
    <col min="12" max="12" width="11.33203125" style="125" customWidth="1"/>
    <col min="13" max="16384" width="9.77734375" style="78"/>
  </cols>
  <sheetData>
    <row r="1" spans="1:12" s="117" customFormat="1" ht="3" customHeight="1" thickBot="1">
      <c r="A1" s="127">
        <f>SUM(A3:A30)</f>
        <v>0</v>
      </c>
      <c r="B1" s="116"/>
      <c r="C1" s="116"/>
      <c r="F1" s="116"/>
      <c r="G1" s="116"/>
      <c r="H1" s="116"/>
      <c r="I1" s="116"/>
      <c r="J1" s="116"/>
      <c r="L1" s="117">
        <f>+L35</f>
        <v>0</v>
      </c>
    </row>
    <row r="2" spans="1:12" s="119" customFormat="1" ht="23.1" customHeight="1" thickTop="1" thickBot="1">
      <c r="A2" s="118"/>
      <c r="B2" s="1414">
        <f>+EÜR!I3</f>
        <v>46023</v>
      </c>
      <c r="C2" s="1415"/>
      <c r="D2" s="971"/>
      <c r="E2" s="1416" t="s">
        <v>272</v>
      </c>
      <c r="F2" s="1416"/>
      <c r="G2" s="1416"/>
      <c r="H2" s="1416"/>
      <c r="I2" s="1416"/>
      <c r="J2" s="1416"/>
      <c r="K2" s="972" t="s">
        <v>413</v>
      </c>
      <c r="L2" s="1110" t="s">
        <v>8</v>
      </c>
    </row>
    <row r="3" spans="1:12" s="13" customFormat="1" ht="14.1" customHeight="1" thickTop="1" thickBot="1">
      <c r="A3" s="35"/>
      <c r="B3" s="973" t="s">
        <v>146</v>
      </c>
      <c r="C3" s="974" t="s">
        <v>147</v>
      </c>
      <c r="D3" s="975" t="s">
        <v>460</v>
      </c>
      <c r="E3" s="976"/>
      <c r="F3" s="976"/>
      <c r="G3" s="976"/>
      <c r="H3" s="976"/>
      <c r="I3" s="976"/>
      <c r="J3" s="976"/>
      <c r="K3" s="976"/>
      <c r="L3" s="977"/>
    </row>
    <row r="4" spans="1:12" s="13" customFormat="1" ht="14" customHeight="1" thickTop="1">
      <c r="A4" s="35"/>
      <c r="B4" s="978" t="s">
        <v>146</v>
      </c>
      <c r="C4" s="979" t="s">
        <v>126</v>
      </c>
      <c r="D4" s="980" t="s">
        <v>462</v>
      </c>
      <c r="E4" s="980"/>
      <c r="F4" s="981"/>
      <c r="G4" s="982"/>
      <c r="H4" s="982"/>
      <c r="I4" s="982"/>
      <c r="J4" s="982"/>
      <c r="K4" s="982"/>
      <c r="L4" s="983"/>
    </row>
    <row r="5" spans="1:12" s="13" customFormat="1" ht="14" customHeight="1">
      <c r="A5" s="35"/>
      <c r="B5" s="984" t="s">
        <v>146</v>
      </c>
      <c r="C5" s="985" t="s">
        <v>463</v>
      </c>
      <c r="D5" s="986">
        <v>10</v>
      </c>
      <c r="E5" s="986"/>
      <c r="F5" s="987"/>
      <c r="G5" s="988"/>
      <c r="H5" s="988"/>
      <c r="I5" s="988"/>
      <c r="J5" s="988"/>
      <c r="K5" s="988"/>
      <c r="L5" s="989"/>
    </row>
    <row r="6" spans="1:12" s="13" customFormat="1" ht="14" customHeight="1">
      <c r="A6" s="35"/>
      <c r="B6" s="984" t="s">
        <v>146</v>
      </c>
      <c r="C6" s="985" t="s">
        <v>128</v>
      </c>
      <c r="D6" s="990">
        <v>45658</v>
      </c>
      <c r="E6" s="990"/>
      <c r="F6" s="991"/>
      <c r="G6" s="992"/>
      <c r="H6" s="992"/>
      <c r="I6" s="992"/>
      <c r="J6" s="992"/>
      <c r="K6" s="992"/>
      <c r="L6" s="993"/>
    </row>
    <row r="7" spans="1:12" s="13" customFormat="1" ht="14" customHeight="1">
      <c r="A7" s="35"/>
      <c r="B7" s="984" t="s">
        <v>146</v>
      </c>
      <c r="C7" s="985" t="s">
        <v>129</v>
      </c>
      <c r="D7" s="994">
        <v>10000</v>
      </c>
      <c r="E7" s="994"/>
      <c r="F7" s="995"/>
      <c r="G7" s="996"/>
      <c r="H7" s="996"/>
      <c r="I7" s="996"/>
      <c r="J7" s="996"/>
      <c r="K7" s="996"/>
      <c r="L7" s="997"/>
    </row>
    <row r="8" spans="1:12" s="13" customFormat="1" ht="14" customHeight="1">
      <c r="A8" s="35"/>
      <c r="B8" s="984" t="s">
        <v>146</v>
      </c>
      <c r="C8" s="998" t="s">
        <v>464</v>
      </c>
      <c r="D8" s="994"/>
      <c r="E8" s="994"/>
      <c r="F8" s="995"/>
      <c r="G8" s="996"/>
      <c r="H8" s="996"/>
      <c r="I8" s="996"/>
      <c r="J8" s="996"/>
      <c r="K8" s="996"/>
      <c r="L8" s="997"/>
    </row>
    <row r="9" spans="1:12" s="13" customFormat="1" ht="14" customHeight="1">
      <c r="A9" s="35"/>
      <c r="B9" s="984" t="s">
        <v>146</v>
      </c>
      <c r="C9" s="985" t="s">
        <v>130</v>
      </c>
      <c r="D9" s="999">
        <v>0</v>
      </c>
      <c r="E9" s="999"/>
      <c r="F9" s="1000"/>
      <c r="G9" s="996"/>
      <c r="H9" s="996"/>
      <c r="I9" s="996"/>
      <c r="J9" s="996"/>
      <c r="K9" s="996"/>
      <c r="L9" s="997"/>
    </row>
    <row r="10" spans="1:12" s="13" customFormat="1" ht="14" customHeight="1">
      <c r="A10" s="35"/>
      <c r="B10" s="984" t="s">
        <v>146</v>
      </c>
      <c r="C10" s="985" t="s">
        <v>131</v>
      </c>
      <c r="D10" s="1001">
        <v>0.1</v>
      </c>
      <c r="E10" s="1001"/>
      <c r="F10" s="1002"/>
      <c r="G10" s="1003"/>
      <c r="H10" s="1003"/>
      <c r="I10" s="1003"/>
      <c r="J10" s="1003"/>
      <c r="K10" s="1003"/>
      <c r="L10" s="1004"/>
    </row>
    <row r="11" spans="1:12" s="13" customFormat="1" ht="14" customHeight="1">
      <c r="A11" s="35"/>
      <c r="B11" s="984" t="s">
        <v>146</v>
      </c>
      <c r="C11" s="985" t="s">
        <v>132</v>
      </c>
      <c r="D11" s="1001" t="s">
        <v>374</v>
      </c>
      <c r="E11" s="1001"/>
      <c r="F11" s="1002"/>
      <c r="G11" s="1003"/>
      <c r="H11" s="1003"/>
      <c r="I11" s="1003"/>
      <c r="J11" s="1003"/>
      <c r="K11" s="1003"/>
      <c r="L11" s="1004"/>
    </row>
    <row r="12" spans="1:12" s="13" customFormat="1" ht="14" customHeight="1" thickBot="1">
      <c r="A12" s="35"/>
      <c r="B12" s="1005" t="s">
        <v>146</v>
      </c>
      <c r="C12" s="1006" t="s">
        <v>134</v>
      </c>
      <c r="D12" s="1007" t="s">
        <v>465</v>
      </c>
      <c r="E12" s="1007"/>
      <c r="F12" s="1008"/>
      <c r="G12" s="1009"/>
      <c r="H12" s="1009"/>
      <c r="I12" s="1009"/>
      <c r="J12" s="1009"/>
      <c r="K12" s="1009" t="str">
        <f t="shared" ref="K12:L12" si="0">IF(K5="","  ",IF(K5&lt;&gt;"ewig",IF(K5=50,+K6+50*365-31,+K6+K5*366-31),"nie"))</f>
        <v xml:space="preserve">  </v>
      </c>
      <c r="L12" s="1010" t="str">
        <f t="shared" si="0"/>
        <v xml:space="preserve">  </v>
      </c>
    </row>
    <row r="13" spans="1:12" s="13" customFormat="1" ht="13.9" thickTop="1" thickBot="1">
      <c r="A13" s="35"/>
      <c r="B13" s="1011"/>
      <c r="C13" s="1012" t="s">
        <v>133</v>
      </c>
      <c r="D13" s="1013">
        <f>IF(D11="degressiv",INT(+D14+0.99),IF(D11="linear",INT(+D10*(D8+D7)+0.99),IF(D11="keine AfA",0,0)))</f>
        <v>1000</v>
      </c>
      <c r="E13" s="1014">
        <f t="shared" ref="E13:L13" si="1">IF(E11="degressiv",INT(+E14+0.99),IF(E11="linear",INT(+E10*(E8+E7)+0.99),IF(E11="keine AfA",0,0)))</f>
        <v>0</v>
      </c>
      <c r="F13" s="1014">
        <f t="shared" si="1"/>
        <v>0</v>
      </c>
      <c r="G13" s="1014">
        <f t="shared" si="1"/>
        <v>0</v>
      </c>
      <c r="H13" s="1014">
        <f t="shared" si="1"/>
        <v>0</v>
      </c>
      <c r="I13" s="1014">
        <f t="shared" si="1"/>
        <v>0</v>
      </c>
      <c r="J13" s="1014">
        <f t="shared" si="1"/>
        <v>0</v>
      </c>
      <c r="K13" s="1014">
        <f t="shared" si="1"/>
        <v>0</v>
      </c>
      <c r="L13" s="1015">
        <f t="shared" si="1"/>
        <v>0</v>
      </c>
    </row>
    <row r="14" spans="1:12" s="13" customFormat="1" ht="10.050000000000001" customHeight="1" thickTop="1" thickBot="1">
      <c r="A14" s="35"/>
      <c r="B14" s="332"/>
      <c r="C14" s="333" t="s">
        <v>273</v>
      </c>
      <c r="D14" s="334">
        <f t="shared" ref="D14:L14" si="2">INT((+D23+D8)*D10)</f>
        <v>1000</v>
      </c>
      <c r="E14" s="334">
        <f t="shared" si="2"/>
        <v>0</v>
      </c>
      <c r="F14" s="334">
        <f t="shared" si="2"/>
        <v>0</v>
      </c>
      <c r="G14" s="334">
        <f t="shared" si="2"/>
        <v>0</v>
      </c>
      <c r="H14" s="334">
        <f t="shared" si="2"/>
        <v>0</v>
      </c>
      <c r="I14" s="334">
        <f t="shared" si="2"/>
        <v>0</v>
      </c>
      <c r="J14" s="334">
        <f t="shared" si="2"/>
        <v>0</v>
      </c>
      <c r="K14" s="334">
        <f t="shared" si="2"/>
        <v>0</v>
      </c>
      <c r="L14" s="334">
        <f t="shared" si="2"/>
        <v>0</v>
      </c>
    </row>
    <row r="15" spans="1:12" s="13" customFormat="1" ht="14" customHeight="1" thickTop="1" thickBot="1">
      <c r="A15" s="35"/>
      <c r="B15" s="1016" t="s">
        <v>146</v>
      </c>
      <c r="C15" s="1017" t="s">
        <v>466</v>
      </c>
      <c r="D15" s="1018">
        <v>0</v>
      </c>
      <c r="E15" s="1019"/>
      <c r="F15" s="1019"/>
      <c r="G15" s="1020"/>
      <c r="H15" s="1020"/>
      <c r="I15" s="1020"/>
      <c r="J15" s="1020"/>
      <c r="K15" s="1020"/>
      <c r="L15" s="1021"/>
    </row>
    <row r="16" spans="1:12" s="13" customFormat="1" ht="20" customHeight="1" thickTop="1" thickBot="1">
      <c r="A16" s="35"/>
      <c r="B16" s="1111" t="s">
        <v>146</v>
      </c>
      <c r="C16" s="1112" t="s">
        <v>467</v>
      </c>
      <c r="D16" s="1113" t="s">
        <v>458</v>
      </c>
      <c r="E16" s="1113"/>
      <c r="F16" s="1113"/>
      <c r="G16" s="1113"/>
      <c r="H16" s="1113"/>
      <c r="I16" s="1113"/>
      <c r="J16" s="1113"/>
      <c r="K16" s="1113"/>
      <c r="L16" s="1113"/>
    </row>
    <row r="17" spans="1:12" s="13" customFormat="1" ht="14" customHeight="1" thickTop="1" thickBot="1">
      <c r="A17" s="35"/>
      <c r="B17" s="1022" t="s">
        <v>146</v>
      </c>
      <c r="C17" s="1023" t="s">
        <v>138</v>
      </c>
      <c r="D17" s="1024">
        <v>12</v>
      </c>
      <c r="E17" s="1025"/>
      <c r="F17" s="1025"/>
      <c r="G17" s="1026"/>
      <c r="H17" s="1026"/>
      <c r="I17" s="1026"/>
      <c r="J17" s="1026"/>
      <c r="K17" s="1026"/>
      <c r="L17" s="1027"/>
    </row>
    <row r="18" spans="1:12" s="13" customFormat="1" ht="16.149999999999999" customHeight="1" thickTop="1" thickBot="1">
      <c r="A18" s="35"/>
      <c r="B18" s="1028"/>
      <c r="C18" s="1029">
        <f>+B2</f>
        <v>46023</v>
      </c>
      <c r="D18" s="1030">
        <f t="shared" ref="D18:L18" si="3">IF(D17="keine AfA",0,IF(D13&lt;&gt;"",+D13/12*D17,0))</f>
        <v>1000</v>
      </c>
      <c r="E18" s="1031">
        <f t="shared" si="3"/>
        <v>0</v>
      </c>
      <c r="F18" s="1031">
        <f t="shared" si="3"/>
        <v>0</v>
      </c>
      <c r="G18" s="1031">
        <f t="shared" si="3"/>
        <v>0</v>
      </c>
      <c r="H18" s="1031">
        <f t="shared" si="3"/>
        <v>0</v>
      </c>
      <c r="I18" s="1031">
        <f t="shared" si="3"/>
        <v>0</v>
      </c>
      <c r="J18" s="1031">
        <f t="shared" si="3"/>
        <v>0</v>
      </c>
      <c r="K18" s="1031">
        <f t="shared" si="3"/>
        <v>0</v>
      </c>
      <c r="L18" s="1032">
        <f t="shared" si="3"/>
        <v>0</v>
      </c>
    </row>
    <row r="19" spans="1:12" s="1036" customFormat="1" ht="8" customHeight="1" thickTop="1">
      <c r="A19" s="35"/>
      <c r="B19" s="1033">
        <f>SUM(D19:L19)</f>
        <v>0</v>
      </c>
      <c r="C19" s="1034" t="s">
        <v>468</v>
      </c>
      <c r="D19" s="1035">
        <f>IF(D16&lt;&gt;"Beginn",+D13-D18,0)</f>
        <v>0</v>
      </c>
      <c r="E19" s="1035">
        <f t="shared" ref="E19:L19" si="4">IF(E16&lt;&gt;"Beginn",+E13-E18,0)</f>
        <v>0</v>
      </c>
      <c r="F19" s="1035">
        <f t="shared" si="4"/>
        <v>0</v>
      </c>
      <c r="G19" s="1035">
        <f t="shared" si="4"/>
        <v>0</v>
      </c>
      <c r="H19" s="1035">
        <f t="shared" si="4"/>
        <v>0</v>
      </c>
      <c r="I19" s="1035">
        <f t="shared" si="4"/>
        <v>0</v>
      </c>
      <c r="J19" s="1035">
        <f t="shared" si="4"/>
        <v>0</v>
      </c>
      <c r="K19" s="1035">
        <f t="shared" si="4"/>
        <v>0</v>
      </c>
      <c r="L19" s="1035">
        <f t="shared" si="4"/>
        <v>0</v>
      </c>
    </row>
    <row r="20" spans="1:12" ht="3" customHeight="1"/>
    <row r="21" spans="1:12" ht="18" customHeight="1" thickBot="1">
      <c r="B21" s="1417" t="s">
        <v>469</v>
      </c>
      <c r="C21" s="1417"/>
    </row>
    <row r="22" spans="1:12" s="13" customFormat="1" ht="15" customHeight="1" thickTop="1">
      <c r="A22" s="35"/>
      <c r="B22" s="1418" t="s">
        <v>136</v>
      </c>
      <c r="C22" s="1419"/>
      <c r="D22" s="1422">
        <f>SUM(D23:L23)</f>
        <v>10000</v>
      </c>
      <c r="E22" s="1423"/>
      <c r="F22" s="1423"/>
      <c r="G22" s="1423"/>
      <c r="H22" s="1423"/>
      <c r="I22" s="1423"/>
      <c r="J22" s="1423"/>
      <c r="K22" s="1423"/>
      <c r="L22" s="1424"/>
    </row>
    <row r="23" spans="1:12" s="13" customFormat="1" ht="15" customHeight="1" thickBot="1">
      <c r="A23" s="35"/>
      <c r="B23" s="1420"/>
      <c r="C23" s="1421"/>
      <c r="D23" s="1037">
        <f t="shared" ref="D23:L23" si="5">IF(D16="",0,IF(D16="wie Vorjahr",D7-D15,IF(D16="Beginn",+D7,IF(D16="Ende",+D7-D15,IF(D16="Übernahme",+D7-D15-D19,0)))))</f>
        <v>10000</v>
      </c>
      <c r="E23" s="1038">
        <f t="shared" si="5"/>
        <v>0</v>
      </c>
      <c r="F23" s="1038">
        <f t="shared" si="5"/>
        <v>0</v>
      </c>
      <c r="G23" s="1038">
        <f t="shared" si="5"/>
        <v>0</v>
      </c>
      <c r="H23" s="1038">
        <f t="shared" si="5"/>
        <v>0</v>
      </c>
      <c r="I23" s="1038">
        <f t="shared" si="5"/>
        <v>0</v>
      </c>
      <c r="J23" s="1038">
        <f t="shared" si="5"/>
        <v>0</v>
      </c>
      <c r="K23" s="1038">
        <f t="shared" si="5"/>
        <v>0</v>
      </c>
      <c r="L23" s="1039">
        <f t="shared" si="5"/>
        <v>0</v>
      </c>
    </row>
    <row r="24" spans="1:12" s="13" customFormat="1" ht="14" customHeight="1" thickTop="1">
      <c r="A24" s="35"/>
      <c r="B24" s="1040"/>
      <c r="C24" s="1041">
        <f>+B2</f>
        <v>46023</v>
      </c>
      <c r="D24" s="1042">
        <f t="shared" ref="D24:L24" si="6">IF(D8&gt;0,D8,0)</f>
        <v>0</v>
      </c>
      <c r="E24" s="1043">
        <f t="shared" si="6"/>
        <v>0</v>
      </c>
      <c r="F24" s="1043">
        <f t="shared" si="6"/>
        <v>0</v>
      </c>
      <c r="G24" s="1043">
        <f t="shared" si="6"/>
        <v>0</v>
      </c>
      <c r="H24" s="1043">
        <f t="shared" si="6"/>
        <v>0</v>
      </c>
      <c r="I24" s="1043">
        <f t="shared" si="6"/>
        <v>0</v>
      </c>
      <c r="J24" s="1043">
        <f t="shared" si="6"/>
        <v>0</v>
      </c>
      <c r="K24" s="1043">
        <f t="shared" si="6"/>
        <v>0</v>
      </c>
      <c r="L24" s="1044">
        <f t="shared" si="6"/>
        <v>0</v>
      </c>
    </row>
    <row r="25" spans="1:12" s="13" customFormat="1" ht="14" customHeight="1">
      <c r="A25" s="35"/>
      <c r="B25" s="1045"/>
      <c r="C25" s="1046">
        <f>+B2</f>
        <v>46023</v>
      </c>
      <c r="D25" s="1047">
        <f>IF(D8&lt;0,+D8,0)</f>
        <v>0</v>
      </c>
      <c r="E25" s="1048">
        <f>IF(E8&lt;0,+E8,0)</f>
        <v>0</v>
      </c>
      <c r="F25" s="1048">
        <f>IF(F8&lt;0,+F8,0)</f>
        <v>0</v>
      </c>
      <c r="G25" s="1048">
        <f>IF(G8&lt;0,+G8,0)</f>
        <v>0</v>
      </c>
      <c r="H25" s="1048">
        <f>IF(H8&lt;0,+H8,0)</f>
        <v>0</v>
      </c>
      <c r="I25" s="1048"/>
      <c r="J25" s="1048">
        <f>IF(J8&lt;0,+J8,0)</f>
        <v>0</v>
      </c>
      <c r="K25" s="1048">
        <f>IF(K8&lt;0,+K8,0)</f>
        <v>0</v>
      </c>
      <c r="L25" s="1049">
        <f>IF(L8&lt;0,+L8,0)</f>
        <v>0</v>
      </c>
    </row>
    <row r="26" spans="1:12" s="13" customFormat="1" ht="14" customHeight="1">
      <c r="A26" s="35"/>
      <c r="B26" s="1050"/>
      <c r="C26" s="1051">
        <f>+B2</f>
        <v>46023</v>
      </c>
      <c r="D26" s="1047">
        <f t="shared" ref="D26:L26" si="7">IF(D18="",0,-D18)</f>
        <v>-1000</v>
      </c>
      <c r="E26" s="1048">
        <f t="shared" si="7"/>
        <v>0</v>
      </c>
      <c r="F26" s="1048">
        <f t="shared" si="7"/>
        <v>0</v>
      </c>
      <c r="G26" s="1048">
        <f t="shared" si="7"/>
        <v>0</v>
      </c>
      <c r="H26" s="1048">
        <f t="shared" si="7"/>
        <v>0</v>
      </c>
      <c r="I26" s="1048">
        <f t="shared" si="7"/>
        <v>0</v>
      </c>
      <c r="J26" s="1048">
        <f t="shared" si="7"/>
        <v>0</v>
      </c>
      <c r="K26" s="1048">
        <f t="shared" si="7"/>
        <v>0</v>
      </c>
      <c r="L26" s="1049">
        <f t="shared" si="7"/>
        <v>0</v>
      </c>
    </row>
    <row r="27" spans="1:12" s="13" customFormat="1" ht="14" customHeight="1">
      <c r="A27" s="35"/>
      <c r="B27" s="978" t="s">
        <v>146</v>
      </c>
      <c r="C27" s="1052" t="s">
        <v>470</v>
      </c>
      <c r="D27" s="1053"/>
      <c r="E27" s="1054"/>
      <c r="F27" s="1054"/>
      <c r="G27" s="1055"/>
      <c r="H27" s="1055"/>
      <c r="I27" s="1055"/>
      <c r="J27" s="1055"/>
      <c r="K27" s="1055"/>
      <c r="L27" s="1056"/>
    </row>
    <row r="28" spans="1:12" s="13" customFormat="1" ht="14" customHeight="1" thickBot="1">
      <c r="A28" s="35"/>
      <c r="B28" s="1057" t="s">
        <v>146</v>
      </c>
      <c r="C28" s="1058" t="s">
        <v>471</v>
      </c>
      <c r="D28" s="1059"/>
      <c r="E28" s="1060"/>
      <c r="F28" s="1060"/>
      <c r="G28" s="1061"/>
      <c r="H28" s="1061"/>
      <c r="I28" s="1061"/>
      <c r="J28" s="1061"/>
      <c r="K28" s="1061"/>
      <c r="L28" s="1062"/>
    </row>
    <row r="29" spans="1:12" s="13" customFormat="1" ht="15" customHeight="1" thickTop="1">
      <c r="A29" s="35"/>
      <c r="B29" s="1425" t="s">
        <v>137</v>
      </c>
      <c r="C29" s="1426"/>
      <c r="D29" s="1063">
        <f t="shared" ref="D29:L29" si="8">IF(D3="",0,SUM(D23:D28))</f>
        <v>9000</v>
      </c>
      <c r="E29" s="1064">
        <f t="shared" si="8"/>
        <v>0</v>
      </c>
      <c r="F29" s="1064">
        <f t="shared" si="8"/>
        <v>0</v>
      </c>
      <c r="G29" s="1064">
        <f t="shared" si="8"/>
        <v>0</v>
      </c>
      <c r="H29" s="1064">
        <f t="shared" si="8"/>
        <v>0</v>
      </c>
      <c r="I29" s="1064">
        <f t="shared" si="8"/>
        <v>0</v>
      </c>
      <c r="J29" s="1064">
        <f t="shared" si="8"/>
        <v>0</v>
      </c>
      <c r="K29" s="1064">
        <f t="shared" si="8"/>
        <v>0</v>
      </c>
      <c r="L29" s="1065">
        <f t="shared" si="8"/>
        <v>0</v>
      </c>
    </row>
    <row r="30" spans="1:12" s="13" customFormat="1" ht="15" customHeight="1" thickBot="1">
      <c r="A30" s="35"/>
      <c r="B30" s="1420"/>
      <c r="C30" s="1421"/>
      <c r="D30" s="1427">
        <f>SUM(D29:L29)</f>
        <v>9000</v>
      </c>
      <c r="E30" s="1428"/>
      <c r="F30" s="1428"/>
      <c r="G30" s="1428"/>
      <c r="H30" s="1428"/>
      <c r="I30" s="1428"/>
      <c r="J30" s="1428"/>
      <c r="K30" s="1428"/>
      <c r="L30" s="1429"/>
    </row>
    <row r="31" spans="1:12" s="13" customFormat="1" ht="10.050000000000001" customHeight="1" thickTop="1" thickBot="1">
      <c r="A31" s="35"/>
    </row>
    <row r="32" spans="1:12" s="13" customFormat="1" ht="13.9" thickTop="1" thickBot="1">
      <c r="A32" s="35"/>
      <c r="B32" s="1430" t="s">
        <v>472</v>
      </c>
      <c r="C32" s="1431"/>
      <c r="D32" s="1066">
        <f t="shared" ref="D32:L32" si="9">+D15+D18+D19-D27-D28</f>
        <v>1000</v>
      </c>
      <c r="E32" s="1067">
        <f t="shared" si="9"/>
        <v>0</v>
      </c>
      <c r="F32" s="1067">
        <f t="shared" si="9"/>
        <v>0</v>
      </c>
      <c r="G32" s="1067">
        <f t="shared" si="9"/>
        <v>0</v>
      </c>
      <c r="H32" s="1067">
        <f t="shared" si="9"/>
        <v>0</v>
      </c>
      <c r="I32" s="1067">
        <f t="shared" si="9"/>
        <v>0</v>
      </c>
      <c r="J32" s="1067">
        <f t="shared" si="9"/>
        <v>0</v>
      </c>
      <c r="K32" s="1067">
        <f t="shared" si="9"/>
        <v>0</v>
      </c>
      <c r="L32" s="1068">
        <f t="shared" si="9"/>
        <v>0</v>
      </c>
    </row>
    <row r="33" spans="1:12" ht="8" customHeight="1" thickTop="1">
      <c r="B33" s="1069"/>
      <c r="C33" s="1069"/>
      <c r="D33" s="1070"/>
      <c r="E33" s="1070"/>
      <c r="F33" s="1071"/>
      <c r="G33" s="1072"/>
      <c r="H33" s="1072"/>
      <c r="I33" s="1072"/>
      <c r="J33" s="1072"/>
      <c r="K33" s="1073"/>
      <c r="L33" s="1074"/>
    </row>
    <row r="34" spans="1:12" ht="3" customHeight="1"/>
    <row r="35" spans="1:12" s="1077" customFormat="1" ht="18" customHeight="1" thickBot="1">
      <c r="A35" s="1075"/>
      <c r="B35" s="1411" t="s">
        <v>473</v>
      </c>
      <c r="C35" s="1411"/>
      <c r="D35" s="1076" t="str">
        <f t="shared" ref="D35:L35" si="10">+D3</f>
        <v>Gut</v>
      </c>
      <c r="E35" s="1076">
        <f t="shared" si="10"/>
        <v>0</v>
      </c>
      <c r="F35" s="1076">
        <f t="shared" si="10"/>
        <v>0</v>
      </c>
      <c r="G35" s="1076">
        <f t="shared" si="10"/>
        <v>0</v>
      </c>
      <c r="H35" s="1076">
        <f t="shared" si="10"/>
        <v>0</v>
      </c>
      <c r="I35" s="1076">
        <f t="shared" si="10"/>
        <v>0</v>
      </c>
      <c r="J35" s="1076">
        <f t="shared" si="10"/>
        <v>0</v>
      </c>
      <c r="K35" s="1076">
        <f t="shared" si="10"/>
        <v>0</v>
      </c>
      <c r="L35" s="1076">
        <f t="shared" si="10"/>
        <v>0</v>
      </c>
    </row>
    <row r="36" spans="1:12" s="13" customFormat="1" ht="16.5" customHeight="1" thickTop="1" thickBot="1">
      <c r="A36" s="35"/>
      <c r="B36" s="1078" t="s">
        <v>380</v>
      </c>
      <c r="C36" s="1079">
        <f>+B2</f>
        <v>46023</v>
      </c>
      <c r="D36" s="1080">
        <f>+D26+D27+D28</f>
        <v>-1000</v>
      </c>
      <c r="E36" s="1081">
        <f t="shared" ref="E36:L36" si="11">+E26+E27+E28</f>
        <v>0</v>
      </c>
      <c r="F36" s="1081">
        <f t="shared" si="11"/>
        <v>0</v>
      </c>
      <c r="G36" s="1081">
        <f t="shared" si="11"/>
        <v>0</v>
      </c>
      <c r="H36" s="1081">
        <f t="shared" si="11"/>
        <v>0</v>
      </c>
      <c r="I36" s="1081">
        <f t="shared" si="11"/>
        <v>0</v>
      </c>
      <c r="J36" s="1081">
        <f t="shared" si="11"/>
        <v>0</v>
      </c>
      <c r="K36" s="1081">
        <f t="shared" si="11"/>
        <v>0</v>
      </c>
      <c r="L36" s="1082">
        <f t="shared" si="11"/>
        <v>0</v>
      </c>
    </row>
    <row r="37" spans="1:12" s="13" customFormat="1" ht="14" customHeight="1" thickTop="1">
      <c r="A37" s="35"/>
      <c r="B37" s="1083"/>
      <c r="C37" s="1084" t="s">
        <v>476</v>
      </c>
      <c r="D37" s="1130">
        <f>IF(D4=$C$37,+D36,0)</f>
        <v>0</v>
      </c>
      <c r="E37" s="1131">
        <f t="shared" ref="E37:L37" si="12">IF(E4=$C$37,+E36,0)</f>
        <v>0</v>
      </c>
      <c r="F37" s="1131">
        <f t="shared" si="12"/>
        <v>0</v>
      </c>
      <c r="G37" s="1131">
        <f t="shared" si="12"/>
        <v>0</v>
      </c>
      <c r="H37" s="1131">
        <f t="shared" si="12"/>
        <v>0</v>
      </c>
      <c r="I37" s="1131">
        <f t="shared" si="12"/>
        <v>0</v>
      </c>
      <c r="J37" s="1131">
        <f t="shared" si="12"/>
        <v>0</v>
      </c>
      <c r="K37" s="1131">
        <f t="shared" si="12"/>
        <v>0</v>
      </c>
      <c r="L37" s="1132">
        <f t="shared" si="12"/>
        <v>0</v>
      </c>
    </row>
    <row r="38" spans="1:12" s="13" customFormat="1" ht="14" customHeight="1">
      <c r="A38" s="12"/>
      <c r="B38" s="1083"/>
      <c r="C38" s="1084" t="s">
        <v>461</v>
      </c>
      <c r="D38" s="1085">
        <f t="shared" ref="D38:L38" si="13">IF(D4=$C$38,+D36,0)</f>
        <v>0</v>
      </c>
      <c r="E38" s="1086">
        <f t="shared" si="13"/>
        <v>0</v>
      </c>
      <c r="F38" s="1086">
        <f t="shared" si="13"/>
        <v>0</v>
      </c>
      <c r="G38" s="1086">
        <f t="shared" si="13"/>
        <v>0</v>
      </c>
      <c r="H38" s="1086">
        <f t="shared" si="13"/>
        <v>0</v>
      </c>
      <c r="I38" s="1086">
        <f t="shared" si="13"/>
        <v>0</v>
      </c>
      <c r="J38" s="1086">
        <f t="shared" si="13"/>
        <v>0</v>
      </c>
      <c r="K38" s="1086">
        <f t="shared" si="13"/>
        <v>0</v>
      </c>
      <c r="L38" s="1087">
        <f t="shared" si="13"/>
        <v>0</v>
      </c>
    </row>
    <row r="39" spans="1:12" s="15" customFormat="1" ht="14" customHeight="1" thickBot="1">
      <c r="A39" s="12"/>
      <c r="B39" s="336"/>
      <c r="C39" s="1088" t="s">
        <v>462</v>
      </c>
      <c r="D39" s="1089">
        <f t="shared" ref="D39:L39" si="14">IF(D4=$C$39,+D36,0)</f>
        <v>-1000</v>
      </c>
      <c r="E39" s="1090">
        <f t="shared" si="14"/>
        <v>0</v>
      </c>
      <c r="F39" s="1090">
        <f t="shared" si="14"/>
        <v>0</v>
      </c>
      <c r="G39" s="1090">
        <f t="shared" si="14"/>
        <v>0</v>
      </c>
      <c r="H39" s="1090">
        <f t="shared" si="14"/>
        <v>0</v>
      </c>
      <c r="I39" s="1090">
        <f t="shared" si="14"/>
        <v>0</v>
      </c>
      <c r="J39" s="1090">
        <f t="shared" si="14"/>
        <v>0</v>
      </c>
      <c r="K39" s="1090">
        <f t="shared" si="14"/>
        <v>0</v>
      </c>
      <c r="L39" s="1091">
        <f t="shared" si="14"/>
        <v>0</v>
      </c>
    </row>
    <row r="40" spans="1:12" ht="14.65" thickTop="1" thickBot="1">
      <c r="B40" s="1412">
        <f>+B2</f>
        <v>46023</v>
      </c>
      <c r="C40" s="1413"/>
      <c r="D40" s="1092">
        <f>+D42+D43</f>
        <v>-1000</v>
      </c>
      <c r="E40" s="1093" t="str">
        <f>IF(L40=J40," Die AfA kann nicht von der Steuer abgesetzt werden!",IF(AND(K40&lt;&gt;0,L40&lt;&gt;0)," Die AfA kann nur teilweise von der Steuer abgesetzt werden!"," Die AfA kann von der Steuer abgesetzt werden!"))</f>
        <v xml:space="preserve"> Die AfA kann von der Steuer abgesetzt werden!</v>
      </c>
      <c r="F40" s="1093"/>
      <c r="G40" s="1093"/>
      <c r="H40" s="1093"/>
      <c r="I40" s="1135"/>
      <c r="J40" s="1136">
        <f>+K40+L40</f>
        <v>1</v>
      </c>
      <c r="K40" s="1136">
        <f>COUNTIF(I41:I43,"Diese AfA ist absetzbar.")</f>
        <v>1</v>
      </c>
      <c r="L40" s="1094">
        <f>COUNTIF(I41:I43,"Diese AfA ist nicht absetzbar!")</f>
        <v>0</v>
      </c>
    </row>
    <row r="41" spans="1:12" ht="14" customHeight="1" thickTop="1" thickBot="1">
      <c r="B41" s="1129" t="s">
        <v>63</v>
      </c>
      <c r="C41" s="1095" t="str">
        <f>+C37</f>
        <v>Immateriell</v>
      </c>
      <c r="D41" s="1096">
        <f>IF(B41="x",0,SUM(D37:L37))</f>
        <v>0</v>
      </c>
      <c r="E41" s="1097" t="s">
        <v>477</v>
      </c>
      <c r="F41" s="1097"/>
      <c r="G41" s="1097" t="s">
        <v>478</v>
      </c>
      <c r="H41" s="1097"/>
      <c r="I41" s="1133" t="str">
        <f>IF(B41="x","Diese AfA ist nicht absetzbar!",IF(AND(B41="ü",D41&lt;&gt;0),"Diese AfA ist absetzbar.",""))</f>
        <v/>
      </c>
      <c r="J41" s="1097"/>
      <c r="K41" s="1098" t="str">
        <f>IF('O10'!J48&lt;&gt;D41,"korrigieren!","")</f>
        <v/>
      </c>
      <c r="L41" s="1099" t="s">
        <v>274</v>
      </c>
    </row>
    <row r="42" spans="1:12" ht="14" customHeight="1" thickTop="1" thickBot="1">
      <c r="B42" s="1129" t="s">
        <v>63</v>
      </c>
      <c r="C42" s="1095" t="str">
        <f>+C38</f>
        <v>Gebäude</v>
      </c>
      <c r="D42" s="1096">
        <f>IF(B42="x",0,SUM(D38:L38))</f>
        <v>0</v>
      </c>
      <c r="E42" s="1097" t="s">
        <v>474</v>
      </c>
      <c r="F42" s="1097"/>
      <c r="G42" s="1097" t="s">
        <v>479</v>
      </c>
      <c r="H42" s="1097"/>
      <c r="I42" s="1133" t="str">
        <f>IF(B42="x","Diese AfA ist nicht absetzbar!",IF(AND(B42="ü",D42&lt;&gt;0),"Diese AfA ist absetzbar.",""))</f>
        <v/>
      </c>
      <c r="J42" s="1097"/>
      <c r="K42" s="1098" t="str">
        <f>IF(+'O11'!J48&lt;&gt;D42,"korrigieren!","")</f>
        <v/>
      </c>
      <c r="L42" s="1099" t="s">
        <v>274</v>
      </c>
    </row>
    <row r="43" spans="1:12" ht="14" customHeight="1" thickTop="1" thickBot="1">
      <c r="B43" s="1129" t="s">
        <v>63</v>
      </c>
      <c r="C43" s="1100" t="str">
        <f>+C39</f>
        <v>Wirtschaftsgut</v>
      </c>
      <c r="D43" s="1101">
        <f>IF(B43="x",0,SUM(D39:L39))</f>
        <v>-1000</v>
      </c>
      <c r="E43" s="1102" t="s">
        <v>475</v>
      </c>
      <c r="F43" s="1102"/>
      <c r="G43" s="1102" t="s">
        <v>480</v>
      </c>
      <c r="H43" s="1102"/>
      <c r="I43" s="1134" t="str">
        <f>IF(B43="x","Diese AfA ist nicht absetzbar!",IF(AND(B43="ü",D43&lt;&gt;0),"Diese AfA ist absetzbar.",""))</f>
        <v>Diese AfA ist absetzbar.</v>
      </c>
      <c r="J43" s="1102"/>
      <c r="K43" s="1103" t="str">
        <f>IF('O12'!J48&lt;&gt;D43,"korrigieren!","")</f>
        <v/>
      </c>
      <c r="L43" s="1104" t="s">
        <v>274</v>
      </c>
    </row>
    <row r="44" spans="1:12" ht="15.4" thickTop="1">
      <c r="B44" s="1105"/>
      <c r="C44" s="1106"/>
      <c r="D44" s="1107"/>
      <c r="E44" s="1108"/>
      <c r="F44" s="43"/>
      <c r="G44" s="1108"/>
      <c r="H44" s="43"/>
      <c r="I44" s="43"/>
      <c r="J44" s="43"/>
      <c r="K44" s="43"/>
      <c r="L44" s="1109"/>
    </row>
  </sheetData>
  <sheetProtection sheet="1" formatCells="0"/>
  <mergeCells count="10">
    <mergeCell ref="B35:C35"/>
    <mergeCell ref="B40:C40"/>
    <mergeCell ref="B2:C2"/>
    <mergeCell ref="E2:J2"/>
    <mergeCell ref="B21:C21"/>
    <mergeCell ref="B22:C23"/>
    <mergeCell ref="D22:L22"/>
    <mergeCell ref="B29:C30"/>
    <mergeCell ref="D30:L30"/>
    <mergeCell ref="B32:C32"/>
  </mergeCells>
  <conditionalFormatting sqref="B41:B43">
    <cfRule type="expression" dxfId="155" priority="5">
      <formula>AND(B41="",D41&lt;&gt;0)</formula>
    </cfRule>
    <cfRule type="cellIs" dxfId="154" priority="6" operator="equal">
      <formula>"ü"</formula>
    </cfRule>
    <cfRule type="cellIs" dxfId="153" priority="39" operator="equal">
      <formula>"x"</formula>
    </cfRule>
  </conditionalFormatting>
  <conditionalFormatting sqref="C19">
    <cfRule type="expression" dxfId="152" priority="25">
      <formula>$B$19=0</formula>
    </cfRule>
  </conditionalFormatting>
  <conditionalFormatting sqref="C41:L41">
    <cfRule type="expression" dxfId="151" priority="11">
      <formula>SUM($D$37:$L$37)=0</formula>
    </cfRule>
  </conditionalFormatting>
  <conditionalFormatting sqref="C42:L42">
    <cfRule type="expression" dxfId="150" priority="15">
      <formula>SUM($D$38:$L$38)=0</formula>
    </cfRule>
  </conditionalFormatting>
  <conditionalFormatting sqref="C43:L43">
    <cfRule type="expression" dxfId="149" priority="36">
      <formula>SUM($D$39:$L$39)=0</formula>
    </cfRule>
  </conditionalFormatting>
  <conditionalFormatting sqref="D40">
    <cfRule type="expression" dxfId="148" priority="37">
      <formula>$B$42+$B$43&gt;0</formula>
    </cfRule>
  </conditionalFormatting>
  <conditionalFormatting sqref="D13:L13">
    <cfRule type="expression" dxfId="144" priority="32">
      <formula>D3=""</formula>
    </cfRule>
  </conditionalFormatting>
  <conditionalFormatting sqref="D15:L15">
    <cfRule type="expression" dxfId="143" priority="19">
      <formula>AND(D3="",D15&lt;&gt;"")</formula>
    </cfRule>
    <cfRule type="expression" dxfId="142" priority="20">
      <formula>AND(D3&lt;&gt;"",D15="")</formula>
    </cfRule>
  </conditionalFormatting>
  <conditionalFormatting sqref="D16:L16">
    <cfRule type="expression" dxfId="141" priority="24">
      <formula>AND(D3="",D16&lt;&gt;"")</formula>
    </cfRule>
    <cfRule type="expression" dxfId="140" priority="23">
      <formula>AND(D3&lt;&gt;"",D16="")</formula>
    </cfRule>
  </conditionalFormatting>
  <conditionalFormatting sqref="D17:L17">
    <cfRule type="expression" dxfId="139" priority="22">
      <formula>AND(D16="",D17&lt;&gt;"")</formula>
    </cfRule>
    <cfRule type="expression" dxfId="138" priority="21">
      <formula>AND(D16&lt;&gt;"",D17="")</formula>
    </cfRule>
  </conditionalFormatting>
  <conditionalFormatting sqref="D18:L18">
    <cfRule type="expression" dxfId="137" priority="31">
      <formula>D3=""</formula>
    </cfRule>
  </conditionalFormatting>
  <conditionalFormatting sqref="D19:L19">
    <cfRule type="cellIs" dxfId="136" priority="26" operator="equal">
      <formula>0</formula>
    </cfRule>
  </conditionalFormatting>
  <conditionalFormatting sqref="D23:L23">
    <cfRule type="cellIs" dxfId="135" priority="35" operator="equal">
      <formula>0</formula>
    </cfRule>
  </conditionalFormatting>
  <conditionalFormatting sqref="D24:L26">
    <cfRule type="cellIs" dxfId="134" priority="34" operator="equal">
      <formula>0</formula>
    </cfRule>
  </conditionalFormatting>
  <conditionalFormatting sqref="D27:L27">
    <cfRule type="cellIs" dxfId="133" priority="18" operator="greaterThan">
      <formula>0</formula>
    </cfRule>
  </conditionalFormatting>
  <conditionalFormatting sqref="D29:L29">
    <cfRule type="cellIs" dxfId="132" priority="33" operator="equal">
      <formula>0</formula>
    </cfRule>
  </conditionalFormatting>
  <conditionalFormatting sqref="D32:L32">
    <cfRule type="expression" dxfId="131" priority="30">
      <formula>D3=""</formula>
    </cfRule>
  </conditionalFormatting>
  <conditionalFormatting sqref="D35:L35">
    <cfRule type="cellIs" dxfId="130" priority="28" operator="equal">
      <formula>0</formula>
    </cfRule>
  </conditionalFormatting>
  <conditionalFormatting sqref="D36:L36">
    <cfRule type="cellIs" dxfId="129" priority="27" operator="equal">
      <formula>0</formula>
    </cfRule>
  </conditionalFormatting>
  <conditionalFormatting sqref="D37:L39">
    <cfRule type="cellIs" dxfId="128" priority="29" operator="equal">
      <formula>0</formula>
    </cfRule>
  </conditionalFormatting>
  <conditionalFormatting sqref="E40:H40">
    <cfRule type="expression" dxfId="127" priority="17">
      <formula>$L$40=1</formula>
    </cfRule>
    <cfRule type="expression" dxfId="126" priority="40">
      <formula>$L$40=2</formula>
    </cfRule>
  </conditionalFormatting>
  <conditionalFormatting sqref="E41:L41">
    <cfRule type="expression" dxfId="125" priority="9">
      <formula>$K$41="korrigieren!"</formula>
    </cfRule>
  </conditionalFormatting>
  <conditionalFormatting sqref="E42:L42">
    <cfRule type="expression" dxfId="124" priority="7">
      <formula>$K$42="korrigieren!"</formula>
    </cfRule>
  </conditionalFormatting>
  <conditionalFormatting sqref="E43:L43">
    <cfRule type="expression" dxfId="123" priority="14">
      <formula>$K$43="korrigieren!"</formula>
    </cfRule>
  </conditionalFormatting>
  <conditionalFormatting sqref="I41:I43">
    <cfRule type="cellIs" dxfId="122" priority="16" operator="equal">
      <formula>"Diese AfA ist absetzbar."</formula>
    </cfRule>
  </conditionalFormatting>
  <conditionalFormatting sqref="K41:K43">
    <cfRule type="expression" dxfId="121" priority="1">
      <formula>AND(B41="",D41&lt;&gt;0)</formula>
    </cfRule>
  </conditionalFormatting>
  <dataValidations count="6">
    <dataValidation type="list" allowBlank="1" showInputMessage="1" showErrorMessage="1" sqref="B37:B39" xr:uid="{2DDCEF80-EA10-4E32-849A-EA12B694CE2B}">
      <formula1>"Grundstück,Gebäude,Wirtschaftsgut,GWG"</formula1>
    </dataValidation>
    <dataValidation type="list" allowBlank="1" showInputMessage="1" showErrorMessage="1" sqref="D16:L16" xr:uid="{710C1C6E-16E5-403D-A05A-1ED08F6F785A}">
      <formula1>"wie Vorjahr,Übernahme,Beginn,Ende "</formula1>
    </dataValidation>
    <dataValidation type="list" allowBlank="1" showInputMessage="1" showErrorMessage="1" sqref="D4:L4" xr:uid="{61ED7974-27E3-415A-9F1C-33FD710291D8}">
      <formula1>"Grundstück,Gebäude,Wirtschaftsgut,Immateriell"</formula1>
    </dataValidation>
    <dataValidation type="list" allowBlank="1" showInputMessage="1" showErrorMessage="1" sqref="B41:B43" xr:uid="{AC55A274-A20A-4B79-BD80-E4EF0EE0401F}">
      <formula1>"ü,x"</formula1>
    </dataValidation>
    <dataValidation type="list" allowBlank="1" showInputMessage="1" showErrorMessage="1" sqref="D17:L17" xr:uid="{9B7FCCE6-DC48-48F1-8EF1-C0D6A63B131A}">
      <formula1>"12,11,10,9,8,7,6,5,4,3,2,1,0,keine AfA"</formula1>
    </dataValidation>
    <dataValidation type="list" allowBlank="1" showInputMessage="1" showErrorMessage="1" sqref="D11:L11" xr:uid="{A084FD55-DDC9-456F-8588-A5244352ACB5}">
      <formula1>"linear,degressiv,keine AfA"</formula1>
    </dataValidation>
  </dataValidations>
  <hyperlinks>
    <hyperlink ref="L2" location="EÜR!A1" display="EÜR" xr:uid="{1DF4281D-A30F-4448-BD4B-CE8606560F42}"/>
  </hyperlinks>
  <printOptions horizontalCentered="1"/>
  <pageMargins left="0" right="0" top="0" bottom="0.31496062992125984" header="0" footer="0"/>
  <pageSetup paperSize="9" orientation="landscape" r:id="rId1"/>
  <headerFooter>
    <oddFooter>&amp;L&amp;"Arial,Standard"&amp;8Datei: &amp;Z&amp;F/&amp;A&amp;C&amp;"Arial,Standard"&amp;8Seite &amp;P von &amp;N&amp;R&amp;"Arial,Standard"&amp;8Druck: &amp;D&amp;T Uhr</oddFooter>
  </headerFooter>
  <extLst>
    <ext xmlns:x14="http://schemas.microsoft.com/office/spreadsheetml/2009/9/main" uri="{78C0D931-6437-407d-A8EE-F0AAD7539E65}">
      <x14:conditionalFormattings>
        <x14:conditionalFormatting xmlns:xm="http://schemas.microsoft.com/office/excel/2006/main">
          <x14:cfRule type="expression" priority="8" id="{C1863653-EF3D-4D91-94E8-97010D0E211A}">
            <xm:f>'O10'!$J$48&lt;&gt;$D$41</xm:f>
            <x14:dxf>
              <font>
                <b/>
                <i val="0"/>
                <color rgb="FFFFFF00"/>
              </font>
              <fill>
                <patternFill>
                  <bgColor rgb="FFC00000"/>
                </patternFill>
              </fill>
            </x14:dxf>
          </x14:cfRule>
          <xm:sqref>D41</xm:sqref>
        </x14:conditionalFormatting>
        <x14:conditionalFormatting xmlns:xm="http://schemas.microsoft.com/office/excel/2006/main">
          <x14:cfRule type="expression" priority="13" id="{CDE6E462-89EB-4FB2-B406-70B0F58BE39B}">
            <xm:f>'O11'!$J$48&lt;&gt;$D$42</xm:f>
            <x14:dxf>
              <font>
                <b/>
                <i val="0"/>
                <color rgb="FFFFFF00"/>
              </font>
              <fill>
                <patternFill>
                  <bgColor rgb="FFC00000"/>
                </patternFill>
              </fill>
            </x14:dxf>
          </x14:cfRule>
          <xm:sqref>D42</xm:sqref>
        </x14:conditionalFormatting>
        <x14:conditionalFormatting xmlns:xm="http://schemas.microsoft.com/office/excel/2006/main">
          <x14:cfRule type="expression" priority="12" id="{894A1F62-7637-47C4-B4C4-CA20D9338E61}">
            <xm:f>'O12'!$J$48&lt;&gt;$D$43</xm:f>
            <x14:dxf>
              <font>
                <b/>
                <i val="0"/>
                <color rgb="FFFFFF00"/>
              </font>
              <fill>
                <patternFill>
                  <bgColor rgb="FFC00000"/>
                </patternFill>
              </fill>
            </x14:dxf>
          </x14:cfRule>
          <xm:sqref>D43</xm:sqref>
        </x14:conditionalFormatting>
      </x14:conditionalFormattings>
    </ext>
  </extLst>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D3E235-7F4E-4B93-8CDE-7BC3E3D3A7EC}">
  <sheetPr codeName="Tabelle28">
    <tabColor theme="5"/>
    <pageSetUpPr autoPageBreaks="0"/>
  </sheetPr>
  <dimension ref="A1:AA40"/>
  <sheetViews>
    <sheetView showGridLines="0" showRowColHeaders="0" showZeros="0" topLeftCell="K1" zoomScaleNormal="100" workbookViewId="0">
      <selection activeCell="K1" sqref="K1"/>
    </sheetView>
  </sheetViews>
  <sheetFormatPr baseColWidth="10" defaultColWidth="9.77734375" defaultRowHeight="12.75"/>
  <cols>
    <col min="1" max="1" width="0.77734375" style="12" hidden="1" customWidth="1"/>
    <col min="2" max="2" width="6.77734375" style="30" hidden="1" customWidth="1"/>
    <col min="3" max="3" width="24.77734375" style="24" hidden="1" customWidth="1"/>
    <col min="4" max="4" width="7.77734375" style="24" hidden="1" customWidth="1"/>
    <col min="5" max="5" width="6.77734375" style="25" hidden="1" customWidth="1"/>
    <col min="6" max="6" width="8.77734375" style="26" hidden="1" customWidth="1"/>
    <col min="7" max="7" width="8.77734375" style="27" hidden="1" customWidth="1"/>
    <col min="8" max="8" width="2.77734375" style="28" hidden="1" customWidth="1"/>
    <col min="9" max="9" width="6.77734375" style="47" hidden="1" customWidth="1"/>
    <col min="10" max="10" width="8.77734375" style="27" hidden="1" customWidth="1"/>
    <col min="11" max="11" width="0.77734375" style="147" customWidth="1"/>
    <col min="12" max="23" width="8.77734375" style="45" customWidth="1"/>
    <col min="24" max="24" width="0.44140625" style="45" customWidth="1"/>
    <col min="25" max="25" width="2.109375" style="45" customWidth="1"/>
    <col min="26" max="26" width="11.88671875" style="45" customWidth="1"/>
    <col min="27" max="16384" width="9.77734375" style="13"/>
  </cols>
  <sheetData>
    <row r="1" spans="1:27" s="35" customFormat="1" ht="3" customHeight="1">
      <c r="A1" s="40" t="e">
        <f>IF(SUM(A6:A27)&lt;&gt;0,SUM(A6:A27),+J27)</f>
        <v>#REF!</v>
      </c>
      <c r="B1" s="41"/>
      <c r="E1" s="41"/>
      <c r="F1" s="41"/>
      <c r="H1" s="41"/>
      <c r="I1" s="42"/>
      <c r="K1" s="145"/>
      <c r="L1" s="43"/>
      <c r="M1" s="43"/>
      <c r="N1" s="43"/>
      <c r="O1" s="43"/>
      <c r="P1" s="43"/>
      <c r="Q1" s="43"/>
      <c r="R1" s="43"/>
      <c r="S1" s="43"/>
      <c r="T1" s="43"/>
      <c r="U1" s="43"/>
      <c r="V1" s="43"/>
      <c r="W1" s="43"/>
      <c r="X1" s="43"/>
      <c r="Y1" s="43"/>
      <c r="Z1" s="43"/>
    </row>
    <row r="2" spans="1:27" s="35" customFormat="1" ht="20.65">
      <c r="A2" s="40"/>
      <c r="B2" s="41"/>
      <c r="E2" s="41"/>
      <c r="F2" s="41"/>
      <c r="H2" s="41"/>
      <c r="I2" s="42"/>
      <c r="K2" s="146">
        <f>IF(+EÜR!J66="ü",1,0)</f>
        <v>0</v>
      </c>
      <c r="L2" s="1462">
        <f>+EÜR!I66</f>
        <v>0</v>
      </c>
      <c r="M2" s="1462"/>
      <c r="N2" s="1462"/>
      <c r="O2" s="1462"/>
      <c r="P2" s="43"/>
      <c r="Q2" s="43"/>
      <c r="R2" s="43"/>
      <c r="S2" s="43"/>
      <c r="T2" s="43"/>
      <c r="U2" s="43"/>
      <c r="V2" s="43"/>
      <c r="X2" s="74"/>
      <c r="Y2" s="1469" t="s">
        <v>8</v>
      </c>
      <c r="Z2" s="1470"/>
    </row>
    <row r="3" spans="1:27" s="35" customFormat="1" ht="5.0999999999999996" customHeight="1">
      <c r="A3" s="40"/>
      <c r="B3" s="41"/>
      <c r="E3" s="41"/>
      <c r="F3" s="41"/>
      <c r="H3" s="41"/>
      <c r="I3" s="42"/>
      <c r="K3" s="146"/>
      <c r="L3" s="137"/>
      <c r="M3" s="43"/>
      <c r="N3" s="43"/>
      <c r="O3" s="43"/>
      <c r="P3" s="43"/>
      <c r="Q3" s="43"/>
      <c r="R3" s="43"/>
      <c r="S3" s="43"/>
      <c r="T3" s="43"/>
      <c r="U3" s="43"/>
      <c r="V3" s="43"/>
      <c r="W3" s="43"/>
      <c r="X3" s="74"/>
      <c r="Y3" s="92"/>
      <c r="Z3" s="92"/>
    </row>
    <row r="4" spans="1:27" s="35" customFormat="1" ht="15" customHeight="1">
      <c r="A4" s="40"/>
      <c r="B4" s="41"/>
      <c r="E4" s="41"/>
      <c r="F4" s="41"/>
      <c r="H4" s="41"/>
      <c r="I4" s="42"/>
      <c r="K4" s="146">
        <f>IF(L4="vorauszahlungspflichtig [Monat]",1,IF(L4="vorauszahlungspflichtig [Quartal]",2,0))</f>
        <v>0</v>
      </c>
      <c r="L4" s="1471">
        <f>+EÜR!H66</f>
        <v>0</v>
      </c>
      <c r="M4" s="1471"/>
      <c r="N4" s="1471"/>
      <c r="O4" s="1471"/>
      <c r="P4" s="43"/>
      <c r="Q4" s="43"/>
      <c r="R4" s="43"/>
      <c r="S4" s="43"/>
      <c r="T4" s="43"/>
      <c r="U4" s="43"/>
      <c r="V4" s="43"/>
      <c r="W4" s="174" t="s">
        <v>178</v>
      </c>
      <c r="X4" s="43"/>
      <c r="Y4" s="1472" t="str">
        <f>IF(K4=1,"Monat",IF(K4=2,"Quartal","Jahr"))</f>
        <v>Jahr</v>
      </c>
      <c r="Z4" s="1472"/>
    </row>
    <row r="5" spans="1:27" s="35" customFormat="1" ht="17.649999999999999" customHeight="1">
      <c r="A5" s="40"/>
      <c r="B5" s="41"/>
      <c r="E5" s="41"/>
      <c r="F5" s="41"/>
      <c r="H5" s="41"/>
      <c r="I5" s="42"/>
      <c r="K5" s="146"/>
      <c r="L5" s="44" t="s">
        <v>161</v>
      </c>
      <c r="M5" s="43"/>
      <c r="N5" s="43"/>
      <c r="O5" s="43"/>
      <c r="P5" s="43"/>
      <c r="Q5" s="43"/>
      <c r="R5" s="43"/>
      <c r="S5" s="43"/>
      <c r="T5" s="43"/>
      <c r="U5" s="43"/>
      <c r="V5" s="43"/>
      <c r="W5" s="175">
        <f ca="1">IF(W4="final",+EÜR!I78,TODAY())</f>
        <v>46096</v>
      </c>
      <c r="X5" s="43"/>
      <c r="Y5" s="1472"/>
      <c r="Z5" s="1472"/>
      <c r="AA5" s="151"/>
    </row>
    <row r="6" spans="1:27" ht="17.649999999999999">
      <c r="B6" s="7"/>
      <c r="C6" s="7"/>
      <c r="D6" s="7"/>
      <c r="E6" s="7"/>
      <c r="F6" s="7"/>
      <c r="G6" s="7"/>
      <c r="H6" s="7"/>
      <c r="I6" s="7"/>
      <c r="J6" s="7"/>
      <c r="L6" s="143" t="s">
        <v>259</v>
      </c>
      <c r="M6" s="75"/>
      <c r="N6" s="75"/>
      <c r="O6" s="75"/>
      <c r="P6" s="75"/>
      <c r="Q6" s="75"/>
      <c r="R6" s="75"/>
      <c r="S6" s="75"/>
      <c r="T6" s="75"/>
      <c r="U6" s="75"/>
      <c r="V6" s="75"/>
      <c r="W6" s="75"/>
      <c r="X6" s="43"/>
      <c r="Y6" s="1436" t="s">
        <v>407</v>
      </c>
      <c r="Z6" s="1436"/>
    </row>
    <row r="7" spans="1:27" ht="14.85" customHeight="1">
      <c r="A7" s="35" t="str">
        <f>IF(AND(B7&gt;0,B8=0,$B$27="x"),+J7,".")</f>
        <v>.</v>
      </c>
      <c r="B7" s="7"/>
      <c r="C7" s="7"/>
      <c r="D7" s="7"/>
      <c r="E7" s="7"/>
      <c r="F7" s="7"/>
      <c r="G7" s="7"/>
      <c r="H7" s="7"/>
      <c r="I7" s="7"/>
      <c r="J7" s="7"/>
      <c r="L7" s="150" t="s">
        <v>36</v>
      </c>
      <c r="M7" s="150" t="s">
        <v>37</v>
      </c>
      <c r="N7" s="150" t="s">
        <v>38</v>
      </c>
      <c r="O7" s="150" t="s">
        <v>39</v>
      </c>
      <c r="P7" s="150" t="s">
        <v>40</v>
      </c>
      <c r="Q7" s="150" t="s">
        <v>41</v>
      </c>
      <c r="R7" s="150" t="s">
        <v>42</v>
      </c>
      <c r="S7" s="150" t="s">
        <v>43</v>
      </c>
      <c r="T7" s="150" t="s">
        <v>44</v>
      </c>
      <c r="U7" s="150" t="s">
        <v>45</v>
      </c>
      <c r="V7" s="150" t="s">
        <v>46</v>
      </c>
      <c r="W7" s="150" t="s">
        <v>47</v>
      </c>
      <c r="X7" s="152"/>
      <c r="Y7" s="1442" t="s">
        <v>150</v>
      </c>
      <c r="Z7" s="1443"/>
    </row>
    <row r="8" spans="1:27" ht="14.85" customHeight="1">
      <c r="A8" s="35" t="str">
        <f>IF(AND(B8&gt;0,B9=0,$B$27="x"),+J8,".")</f>
        <v>.</v>
      </c>
      <c r="B8" s="7"/>
      <c r="C8" s="7"/>
      <c r="D8" s="7"/>
      <c r="E8" s="7"/>
      <c r="F8" s="7"/>
      <c r="G8" s="7"/>
      <c r="H8" s="7"/>
      <c r="I8" s="7"/>
      <c r="J8" s="7"/>
      <c r="L8" s="263">
        <f>+'E01'!O17+'E03'!O17+'E04'!O17+'E05'!O17</f>
        <v>0</v>
      </c>
      <c r="M8" s="263">
        <f>+'E01'!P17+'E03'!P17+'E04'!P17+'E05'!P17</f>
        <v>0</v>
      </c>
      <c r="N8" s="263">
        <f>+'E01'!Q17+'E03'!Q17+'E04'!Q17+'E05'!Q17</f>
        <v>0</v>
      </c>
      <c r="O8" s="263">
        <f>+'E01'!R17+'E03'!R17+'E04'!R17+'E05'!R17</f>
        <v>0</v>
      </c>
      <c r="P8" s="263">
        <f>+'E01'!S17+'E03'!S17+'E04'!S17+'E05'!S17</f>
        <v>0</v>
      </c>
      <c r="Q8" s="263">
        <f>+'E01'!T17+'E03'!T17+'E04'!T17+'E05'!T17</f>
        <v>0</v>
      </c>
      <c r="R8" s="263">
        <f>+'E01'!U17+'E03'!U17+'E04'!U17+'E05'!U17</f>
        <v>0</v>
      </c>
      <c r="S8" s="263">
        <f>+'E01'!V17+'E03'!V17+'E04'!V17+'E05'!V17</f>
        <v>0</v>
      </c>
      <c r="T8" s="263">
        <f>+'E01'!W17+'E03'!W17+'E04'!W17+'E05'!W17</f>
        <v>0</v>
      </c>
      <c r="U8" s="263">
        <f>+'E01'!X17+'E03'!X17+'E04'!X17+'E05'!X17</f>
        <v>0</v>
      </c>
      <c r="V8" s="263">
        <f>+'E01'!Y17+'E03'!Y17+'E04'!Y17+'E05'!Y17</f>
        <v>0</v>
      </c>
      <c r="W8" s="263">
        <f>+'E01'!Z17+'E03'!Z17+'E04'!Z17+'E05'!Z17</f>
        <v>0</v>
      </c>
      <c r="X8" s="13"/>
      <c r="Y8" s="158" t="s">
        <v>179</v>
      </c>
      <c r="Z8" s="155" t="s">
        <v>176</v>
      </c>
    </row>
    <row r="9" spans="1:27" ht="14.85" customHeight="1">
      <c r="A9" s="35" t="e">
        <f>IF(AND(B9&gt;0,#REF!=0,$B$27="x"),+J9,".")</f>
        <v>#REF!</v>
      </c>
      <c r="B9" s="7"/>
      <c r="C9" s="7"/>
      <c r="D9" s="7"/>
      <c r="E9" s="7"/>
      <c r="F9" s="7"/>
      <c r="G9" s="7"/>
      <c r="H9" s="7"/>
      <c r="I9" s="7"/>
      <c r="J9" s="7"/>
      <c r="L9" s="264">
        <f>SUM('E01:E05'!O13)</f>
        <v>0</v>
      </c>
      <c r="M9" s="264">
        <f>SUM('E01:E05'!P13)</f>
        <v>0</v>
      </c>
      <c r="N9" s="264">
        <f>SUM('E01:E05'!Q13)</f>
        <v>0</v>
      </c>
      <c r="O9" s="264">
        <f>SUM('E01:E05'!R13)</f>
        <v>0</v>
      </c>
      <c r="P9" s="264">
        <f>SUM('E01:E05'!S13)</f>
        <v>0</v>
      </c>
      <c r="Q9" s="264">
        <f>SUM('E01:E05'!T13)</f>
        <v>0</v>
      </c>
      <c r="R9" s="264">
        <f>SUM('E01:E05'!U13)</f>
        <v>0</v>
      </c>
      <c r="S9" s="264">
        <f>SUM('E01:E05'!V13)</f>
        <v>0</v>
      </c>
      <c r="T9" s="264">
        <f>SUM('E01:E05'!W13)</f>
        <v>0</v>
      </c>
      <c r="U9" s="264">
        <f>SUM('E01:E05'!X13)</f>
        <v>0</v>
      </c>
      <c r="V9" s="264">
        <f>SUM('E01:E05'!Y13)</f>
        <v>0</v>
      </c>
      <c r="W9" s="264">
        <f>SUM('E01:E05'!Z13)</f>
        <v>0</v>
      </c>
      <c r="X9" s="13"/>
      <c r="Y9" s="158" t="s">
        <v>179</v>
      </c>
      <c r="Z9" s="155" t="s">
        <v>177</v>
      </c>
    </row>
    <row r="10" spans="1:27" ht="14.85" customHeight="1">
      <c r="A10" s="35"/>
      <c r="B10" s="7"/>
      <c r="C10" s="7"/>
      <c r="D10" s="7"/>
      <c r="E10" s="7"/>
      <c r="F10" s="7"/>
      <c r="G10" s="7"/>
      <c r="H10" s="7"/>
      <c r="I10" s="7"/>
      <c r="J10" s="7"/>
      <c r="L10" s="1463">
        <f>+L8+M8+N8</f>
        <v>0</v>
      </c>
      <c r="M10" s="1464"/>
      <c r="N10" s="1465"/>
      <c r="O10" s="1463">
        <f>+O8+P8+Q8</f>
        <v>0</v>
      </c>
      <c r="P10" s="1464"/>
      <c r="Q10" s="1465"/>
      <c r="R10" s="1463">
        <f>+R8+S8+T8</f>
        <v>0</v>
      </c>
      <c r="S10" s="1464"/>
      <c r="T10" s="1465"/>
      <c r="U10" s="1463">
        <f>+U8+V8+W8</f>
        <v>0</v>
      </c>
      <c r="V10" s="1464"/>
      <c r="W10" s="1465"/>
      <c r="X10" s="13"/>
      <c r="Y10" s="158" t="s">
        <v>180</v>
      </c>
      <c r="Z10" s="155" t="s">
        <v>176</v>
      </c>
    </row>
    <row r="11" spans="1:27" ht="14.85" customHeight="1">
      <c r="A11" s="35"/>
      <c r="B11" s="7"/>
      <c r="C11" s="7"/>
      <c r="D11" s="7"/>
      <c r="E11" s="7"/>
      <c r="F11" s="7"/>
      <c r="G11" s="7"/>
      <c r="H11" s="7"/>
      <c r="I11" s="7"/>
      <c r="J11" s="7"/>
      <c r="L11" s="1466">
        <f>+L9+M9+N9</f>
        <v>0</v>
      </c>
      <c r="M11" s="1467"/>
      <c r="N11" s="1468"/>
      <c r="O11" s="1466">
        <f>+O9+P9+Q9</f>
        <v>0</v>
      </c>
      <c r="P11" s="1467"/>
      <c r="Q11" s="1468"/>
      <c r="R11" s="1466">
        <f>+R9+S9+T9</f>
        <v>0</v>
      </c>
      <c r="S11" s="1467"/>
      <c r="T11" s="1468"/>
      <c r="U11" s="1466">
        <f>+U9+V9+W9</f>
        <v>0</v>
      </c>
      <c r="V11" s="1467"/>
      <c r="W11" s="1468"/>
      <c r="X11" s="13"/>
      <c r="Y11" s="158" t="s">
        <v>180</v>
      </c>
      <c r="Z11" s="155" t="s">
        <v>177</v>
      </c>
    </row>
    <row r="12" spans="1:27" ht="14.85" customHeight="1">
      <c r="A12" s="35"/>
      <c r="B12" s="7"/>
      <c r="C12" s="7"/>
      <c r="D12" s="7"/>
      <c r="E12" s="7"/>
      <c r="F12" s="7"/>
      <c r="G12" s="7"/>
      <c r="H12" s="7"/>
      <c r="I12" s="7"/>
      <c r="J12" s="7"/>
      <c r="L12" s="374">
        <f>SUM(L8:W8)</f>
        <v>0</v>
      </c>
      <c r="M12" s="1450" t="s">
        <v>166</v>
      </c>
      <c r="N12" s="1450"/>
      <c r="O12" s="375"/>
      <c r="P12" s="1454" t="s">
        <v>282</v>
      </c>
      <c r="Q12" s="1454"/>
      <c r="R12" s="376">
        <f>SUM(L8:W9)</f>
        <v>0</v>
      </c>
      <c r="S12" s="375"/>
      <c r="T12" s="375"/>
      <c r="U12" s="375"/>
      <c r="V12" s="377" t="s">
        <v>10</v>
      </c>
      <c r="W12" s="378">
        <f>SUM(L9:W9)</f>
        <v>0</v>
      </c>
      <c r="X12" s="152"/>
      <c r="Y12" s="1442"/>
      <c r="Z12" s="1443"/>
    </row>
    <row r="13" spans="1:27" ht="14.85" customHeight="1">
      <c r="A13" s="35"/>
      <c r="B13" s="7"/>
      <c r="C13" s="7"/>
      <c r="D13" s="7"/>
      <c r="E13" s="7"/>
      <c r="F13" s="7"/>
      <c r="G13" s="7"/>
      <c r="H13" s="7"/>
      <c r="I13" s="7"/>
      <c r="J13" s="7"/>
      <c r="X13" s="43"/>
      <c r="Z13" s="52"/>
    </row>
    <row r="14" spans="1:27" ht="17.649999999999999">
      <c r="B14" s="7"/>
      <c r="C14" s="7"/>
      <c r="D14" s="7"/>
      <c r="E14" s="7"/>
      <c r="F14" s="7"/>
      <c r="G14" s="7"/>
      <c r="H14" s="7"/>
      <c r="I14" s="7"/>
      <c r="J14" s="7"/>
      <c r="L14" s="366" t="s">
        <v>279</v>
      </c>
      <c r="M14" s="75"/>
      <c r="N14" s="75"/>
      <c r="O14" s="75"/>
      <c r="P14" s="75"/>
      <c r="Q14" s="75"/>
      <c r="R14" s="75"/>
      <c r="S14" s="75"/>
      <c r="T14" s="75"/>
      <c r="U14" s="75"/>
      <c r="V14" s="75"/>
      <c r="W14" s="75"/>
      <c r="X14" s="43"/>
      <c r="Y14" s="1436" t="s">
        <v>407</v>
      </c>
      <c r="Z14" s="1436"/>
    </row>
    <row r="15" spans="1:27" ht="14.85" customHeight="1">
      <c r="A15" s="35" t="str">
        <f>IF(AND(B15&gt;0,B16=0,$B$27="x"),+J15,".")</f>
        <v>.</v>
      </c>
      <c r="B15" s="7"/>
      <c r="C15" s="7"/>
      <c r="D15" s="7"/>
      <c r="E15" s="7"/>
      <c r="F15" s="7"/>
      <c r="G15" s="7"/>
      <c r="H15" s="7"/>
      <c r="I15" s="7"/>
      <c r="J15" s="7"/>
      <c r="L15" s="368" t="s">
        <v>36</v>
      </c>
      <c r="M15" s="368" t="s">
        <v>37</v>
      </c>
      <c r="N15" s="368" t="s">
        <v>38</v>
      </c>
      <c r="O15" s="368" t="s">
        <v>39</v>
      </c>
      <c r="P15" s="368" t="s">
        <v>40</v>
      </c>
      <c r="Q15" s="368" t="s">
        <v>41</v>
      </c>
      <c r="R15" s="368" t="s">
        <v>42</v>
      </c>
      <c r="S15" s="368" t="s">
        <v>43</v>
      </c>
      <c r="T15" s="368" t="s">
        <v>44</v>
      </c>
      <c r="U15" s="368" t="s">
        <v>45</v>
      </c>
      <c r="V15" s="368" t="s">
        <v>46</v>
      </c>
      <c r="W15" s="368" t="s">
        <v>47</v>
      </c>
      <c r="X15" s="152"/>
      <c r="Y15" s="1442" t="s">
        <v>150</v>
      </c>
      <c r="Z15" s="1443"/>
    </row>
    <row r="16" spans="1:27" ht="14.85" customHeight="1">
      <c r="A16" s="35" t="e">
        <f>IF(AND(B16&gt;0,#REF!=0,$B$27="x"),+J16,".")</f>
        <v>#REF!</v>
      </c>
      <c r="B16" s="7"/>
      <c r="C16" s="7"/>
      <c r="D16" s="7"/>
      <c r="E16" s="7"/>
      <c r="F16" s="7"/>
      <c r="G16" s="7"/>
      <c r="H16" s="7"/>
      <c r="I16" s="7"/>
      <c r="J16" s="7"/>
      <c r="L16" s="367">
        <f>+'E02'!O17</f>
        <v>0</v>
      </c>
      <c r="M16" s="367">
        <f>+'E02'!P17</f>
        <v>0</v>
      </c>
      <c r="N16" s="367">
        <f>+'E02'!Q17</f>
        <v>0</v>
      </c>
      <c r="O16" s="367">
        <f>+'E02'!R17</f>
        <v>0</v>
      </c>
      <c r="P16" s="367">
        <f>+'E02'!S17</f>
        <v>0</v>
      </c>
      <c r="Q16" s="367">
        <f>+'E02'!T17</f>
        <v>0</v>
      </c>
      <c r="R16" s="367">
        <f>+'E02'!U17</f>
        <v>0</v>
      </c>
      <c r="S16" s="367">
        <f>+'E02'!V17</f>
        <v>0</v>
      </c>
      <c r="T16" s="367">
        <f>+'E02'!W17</f>
        <v>0</v>
      </c>
      <c r="U16" s="367">
        <f>+'E02'!X17</f>
        <v>0</v>
      </c>
      <c r="V16" s="367">
        <f>+'E02'!Y17</f>
        <v>0</v>
      </c>
      <c r="W16" s="367">
        <f>+'E02'!Z17</f>
        <v>0</v>
      </c>
      <c r="X16" s="13"/>
      <c r="Y16" s="158" t="s">
        <v>179</v>
      </c>
      <c r="Z16" s="155" t="s">
        <v>280</v>
      </c>
    </row>
    <row r="17" spans="1:26" ht="14.85" customHeight="1">
      <c r="A17" s="35"/>
      <c r="B17" s="7"/>
      <c r="C17" s="7"/>
      <c r="D17" s="7"/>
      <c r="E17" s="7"/>
      <c r="F17" s="7"/>
      <c r="G17" s="7"/>
      <c r="H17" s="7"/>
      <c r="I17" s="7"/>
      <c r="J17" s="7"/>
      <c r="L17" s="1456">
        <f>+L16+M16+N16</f>
        <v>0</v>
      </c>
      <c r="M17" s="1457"/>
      <c r="N17" s="1458"/>
      <c r="O17" s="1456">
        <f>+O16+P16+Q16</f>
        <v>0</v>
      </c>
      <c r="P17" s="1457"/>
      <c r="Q17" s="1458"/>
      <c r="R17" s="1456">
        <f>+R16+S16+T16</f>
        <v>0</v>
      </c>
      <c r="S17" s="1457"/>
      <c r="T17" s="1458"/>
      <c r="U17" s="1456">
        <f>+U16+V16+W16</f>
        <v>0</v>
      </c>
      <c r="V17" s="1457"/>
      <c r="W17" s="1458"/>
      <c r="X17" s="13"/>
      <c r="Y17" s="158" t="s">
        <v>180</v>
      </c>
      <c r="Z17" s="155" t="s">
        <v>280</v>
      </c>
    </row>
    <row r="18" spans="1:26" ht="14.85" customHeight="1">
      <c r="A18" s="35"/>
      <c r="B18" s="7"/>
      <c r="C18" s="7"/>
      <c r="D18" s="7"/>
      <c r="E18" s="7"/>
      <c r="F18" s="7"/>
      <c r="G18" s="7"/>
      <c r="H18" s="7"/>
      <c r="I18" s="7"/>
      <c r="J18" s="7"/>
      <c r="L18" s="369"/>
      <c r="M18" s="1460"/>
      <c r="N18" s="1460"/>
      <c r="O18" s="1459" t="s">
        <v>281</v>
      </c>
      <c r="P18" s="1459"/>
      <c r="Q18" s="1459"/>
      <c r="R18" s="373">
        <f>SUM(L16:W16)</f>
        <v>0</v>
      </c>
      <c r="S18" s="370"/>
      <c r="T18" s="370"/>
      <c r="U18" s="370"/>
      <c r="V18" s="371"/>
      <c r="W18" s="372"/>
      <c r="X18" s="152"/>
      <c r="Y18" s="1442"/>
      <c r="Z18" s="1443"/>
    </row>
    <row r="19" spans="1:26" ht="14.85" customHeight="1">
      <c r="A19" s="35"/>
      <c r="B19" s="7"/>
      <c r="C19" s="7"/>
      <c r="D19" s="7"/>
      <c r="E19" s="7"/>
      <c r="F19" s="7"/>
      <c r="G19" s="7"/>
      <c r="H19" s="7"/>
      <c r="I19" s="7"/>
      <c r="J19" s="7"/>
      <c r="X19" s="43"/>
      <c r="Z19" s="52"/>
    </row>
    <row r="20" spans="1:26" ht="17.649999999999999">
      <c r="A20" s="35" t="str">
        <f>IF(AND(B20&gt;0,B21=0,$B$27="x"),+J20,".")</f>
        <v>.</v>
      </c>
      <c r="B20" s="7"/>
      <c r="C20" s="7"/>
      <c r="D20" s="7"/>
      <c r="E20" s="7"/>
      <c r="F20" s="7"/>
      <c r="G20" s="7"/>
      <c r="H20" s="7"/>
      <c r="I20" s="7"/>
      <c r="J20" s="7"/>
      <c r="L20" s="1455" t="s">
        <v>260</v>
      </c>
      <c r="M20" s="1455"/>
      <c r="N20" s="1455"/>
      <c r="O20" s="1455"/>
      <c r="P20" s="1455"/>
      <c r="Q20" s="1455"/>
      <c r="R20" s="1455"/>
      <c r="S20" s="1455"/>
      <c r="T20" s="1455"/>
      <c r="U20" s="1455"/>
      <c r="V20" s="1455"/>
      <c r="W20" s="1455"/>
      <c r="X20" s="43"/>
      <c r="Y20" s="1436" t="s">
        <v>407</v>
      </c>
      <c r="Z20" s="1436"/>
    </row>
    <row r="21" spans="1:26" ht="14.85" customHeight="1">
      <c r="A21" s="35" t="str">
        <f>IF(AND(B21&gt;0,B22=0,$B$27="x"),+J21,".")</f>
        <v>.</v>
      </c>
      <c r="B21" s="7"/>
      <c r="C21" s="7"/>
      <c r="D21" s="7"/>
      <c r="E21" s="7"/>
      <c r="F21" s="7"/>
      <c r="G21" s="7"/>
      <c r="H21" s="7"/>
      <c r="I21" s="7"/>
      <c r="J21" s="7"/>
      <c r="L21" s="76" t="s">
        <v>36</v>
      </c>
      <c r="M21" s="76" t="s">
        <v>37</v>
      </c>
      <c r="N21" s="76" t="s">
        <v>38</v>
      </c>
      <c r="O21" s="76" t="s">
        <v>39</v>
      </c>
      <c r="P21" s="76" t="s">
        <v>40</v>
      </c>
      <c r="Q21" s="76" t="s">
        <v>41</v>
      </c>
      <c r="R21" s="76" t="s">
        <v>42</v>
      </c>
      <c r="S21" s="76" t="s">
        <v>43</v>
      </c>
      <c r="T21" s="76" t="s">
        <v>44</v>
      </c>
      <c r="U21" s="76" t="s">
        <v>45</v>
      </c>
      <c r="V21" s="76" t="s">
        <v>46</v>
      </c>
      <c r="W21" s="76" t="s">
        <v>47</v>
      </c>
      <c r="X21" s="152"/>
      <c r="Y21" s="1442" t="s">
        <v>152</v>
      </c>
      <c r="Z21" s="1443"/>
    </row>
    <row r="22" spans="1:26" ht="14.85" customHeight="1">
      <c r="A22" s="35" t="str">
        <f>IF(AND(B22&gt;0,B24=0,$B$27="x"),+J22,".")</f>
        <v>.</v>
      </c>
      <c r="B22" s="7"/>
      <c r="C22" s="7"/>
      <c r="D22" s="7"/>
      <c r="E22" s="7"/>
      <c r="F22" s="7"/>
      <c r="G22" s="7"/>
      <c r="H22" s="7"/>
      <c r="I22" s="7"/>
      <c r="J22" s="7"/>
      <c r="L22" s="262">
        <f>SUM('A01:K'!O13)</f>
        <v>0</v>
      </c>
      <c r="M22" s="262">
        <f>SUM('A01:K'!P13)</f>
        <v>0</v>
      </c>
      <c r="N22" s="262">
        <f>SUM('A01:K'!Q13)</f>
        <v>0</v>
      </c>
      <c r="O22" s="262">
        <f>SUM('A01:K'!R13)</f>
        <v>0</v>
      </c>
      <c r="P22" s="262">
        <f>SUM('A01:K'!S13)</f>
        <v>0</v>
      </c>
      <c r="Q22" s="262">
        <f>SUM('A01:K'!T13)</f>
        <v>0</v>
      </c>
      <c r="R22" s="262">
        <f>SUM('A01:K'!U13)</f>
        <v>0</v>
      </c>
      <c r="S22" s="262">
        <f>SUM('A01:K'!V13)</f>
        <v>0</v>
      </c>
      <c r="T22" s="262">
        <f>SUM('A01:K'!W13)</f>
        <v>0</v>
      </c>
      <c r="U22" s="262">
        <f>SUM('A01:K'!X13)</f>
        <v>0</v>
      </c>
      <c r="V22" s="262">
        <f>SUM('A01:K'!Y13)</f>
        <v>0</v>
      </c>
      <c r="W22" s="262">
        <f>SUM('A01:K'!Z13)</f>
        <v>0</v>
      </c>
      <c r="X22" s="152"/>
      <c r="Y22" s="159" t="s">
        <v>179</v>
      </c>
      <c r="Z22" s="156" t="s">
        <v>153</v>
      </c>
    </row>
    <row r="23" spans="1:26" ht="14.85" customHeight="1">
      <c r="A23" s="35"/>
      <c r="B23" s="7"/>
      <c r="C23" s="7"/>
      <c r="D23" s="7"/>
      <c r="E23" s="7"/>
      <c r="F23" s="7"/>
      <c r="G23" s="7"/>
      <c r="H23" s="7"/>
      <c r="I23" s="7"/>
      <c r="J23" s="7"/>
      <c r="L23" s="1437">
        <f>+L22+M22+N22</f>
        <v>0</v>
      </c>
      <c r="M23" s="1438"/>
      <c r="N23" s="1439"/>
      <c r="O23" s="1437">
        <f>+O22+P22+Q22</f>
        <v>0</v>
      </c>
      <c r="P23" s="1438"/>
      <c r="Q23" s="1439"/>
      <c r="R23" s="1437">
        <f>+R22+S22+T22</f>
        <v>0</v>
      </c>
      <c r="S23" s="1438"/>
      <c r="T23" s="1439"/>
      <c r="U23" s="1437">
        <f>+U22+V22+W22</f>
        <v>0</v>
      </c>
      <c r="V23" s="1438"/>
      <c r="W23" s="1439"/>
      <c r="X23" s="152"/>
      <c r="Y23" s="160" t="s">
        <v>180</v>
      </c>
      <c r="Z23" s="156" t="s">
        <v>153</v>
      </c>
    </row>
    <row r="24" spans="1:26" ht="14.85" customHeight="1">
      <c r="A24" s="35" t="e">
        <f>IF(AND(B24&gt;0,#REF!=0,$B$27="x"),+J24,".")</f>
        <v>#REF!</v>
      </c>
      <c r="B24" s="7"/>
      <c r="C24" s="7"/>
      <c r="D24" s="7"/>
      <c r="E24" s="7"/>
      <c r="F24" s="7"/>
      <c r="G24" s="7"/>
      <c r="H24" s="7"/>
      <c r="I24" s="7"/>
      <c r="J24" s="7"/>
      <c r="L24" s="1447">
        <f>SUM(L22:Y22)</f>
        <v>0</v>
      </c>
      <c r="M24" s="1448"/>
      <c r="N24" s="1448"/>
      <c r="O24" s="1448"/>
      <c r="P24" s="1448"/>
      <c r="Q24" s="1448"/>
      <c r="R24" s="1448"/>
      <c r="S24" s="1448"/>
      <c r="T24" s="1448"/>
      <c r="U24" s="1448"/>
      <c r="V24" s="1448"/>
      <c r="W24" s="1449"/>
      <c r="X24" s="152"/>
      <c r="Y24" s="1442"/>
      <c r="Z24" s="1443"/>
    </row>
    <row r="25" spans="1:26" ht="14.85" customHeight="1">
      <c r="A25" s="35"/>
      <c r="B25" s="7"/>
      <c r="C25" s="7"/>
      <c r="D25" s="7"/>
      <c r="E25" s="7"/>
      <c r="F25" s="7"/>
      <c r="G25" s="7"/>
      <c r="H25" s="7"/>
      <c r="I25" s="7"/>
      <c r="J25" s="7"/>
      <c r="X25" s="43"/>
      <c r="Z25" s="52"/>
    </row>
    <row r="26" spans="1:26" ht="17.649999999999999">
      <c r="A26" s="35" t="str">
        <f>IF(AND(B26&gt;0,B27=0,$B$27="x"),+J26,".")</f>
        <v>.</v>
      </c>
      <c r="B26" s="7"/>
      <c r="C26" s="7"/>
      <c r="D26" s="7"/>
      <c r="E26" s="7"/>
      <c r="F26" s="7"/>
      <c r="G26" s="7"/>
      <c r="H26" s="7"/>
      <c r="I26" s="7"/>
      <c r="J26" s="7"/>
      <c r="L26" s="75" t="str">
        <f>IF(K4=1,"Ust Vorauszahlung","Jahresumsatzsteuer")</f>
        <v>Jahresumsatzsteuer</v>
      </c>
      <c r="M26" s="75"/>
      <c r="N26" s="75"/>
      <c r="O26" s="75"/>
      <c r="P26" s="75"/>
      <c r="Q26" s="75"/>
      <c r="R26" s="75"/>
      <c r="S26" s="75"/>
      <c r="T26" s="75"/>
      <c r="U26" s="75"/>
      <c r="V26" s="75"/>
      <c r="W26" s="75"/>
      <c r="X26" s="43"/>
      <c r="Y26" s="1436" t="s">
        <v>407</v>
      </c>
      <c r="Z26" s="1436"/>
    </row>
    <row r="27" spans="1:26" ht="15" customHeight="1">
      <c r="A27" s="35"/>
      <c r="B27" s="7"/>
      <c r="C27" s="7"/>
      <c r="D27" s="7"/>
      <c r="E27" s="7"/>
      <c r="F27" s="7"/>
      <c r="G27" s="7"/>
      <c r="H27" s="7"/>
      <c r="I27" s="7"/>
      <c r="J27" s="7"/>
      <c r="L27" s="77" t="s">
        <v>36</v>
      </c>
      <c r="M27" s="77" t="s">
        <v>37</v>
      </c>
      <c r="N27" s="77" t="s">
        <v>38</v>
      </c>
      <c r="O27" s="77" t="s">
        <v>39</v>
      </c>
      <c r="P27" s="77" t="s">
        <v>40</v>
      </c>
      <c r="Q27" s="77" t="s">
        <v>41</v>
      </c>
      <c r="R27" s="77" t="s">
        <v>42</v>
      </c>
      <c r="S27" s="77" t="s">
        <v>43</v>
      </c>
      <c r="T27" s="77" t="s">
        <v>44</v>
      </c>
      <c r="U27" s="77" t="s">
        <v>45</v>
      </c>
      <c r="V27" s="77" t="s">
        <v>46</v>
      </c>
      <c r="W27" s="77" t="s">
        <v>47</v>
      </c>
      <c r="X27" s="152"/>
      <c r="Y27" s="1442" t="s">
        <v>167</v>
      </c>
      <c r="Z27" s="1443"/>
    </row>
    <row r="28" spans="1:26" ht="15" customHeight="1">
      <c r="B28" s="7"/>
      <c r="C28" s="7"/>
      <c r="D28" s="7"/>
      <c r="E28" s="7"/>
      <c r="F28" s="7"/>
      <c r="G28" s="7"/>
      <c r="H28" s="7"/>
      <c r="I28" s="7"/>
      <c r="J28" s="7"/>
      <c r="L28" s="263">
        <f t="shared" ref="L28:W28" si="0">(-L9-L22)</f>
        <v>0</v>
      </c>
      <c r="M28" s="263">
        <f t="shared" si="0"/>
        <v>0</v>
      </c>
      <c r="N28" s="263">
        <f t="shared" si="0"/>
        <v>0</v>
      </c>
      <c r="O28" s="263">
        <f t="shared" si="0"/>
        <v>0</v>
      </c>
      <c r="P28" s="263">
        <f t="shared" si="0"/>
        <v>0</v>
      </c>
      <c r="Q28" s="263">
        <f t="shared" si="0"/>
        <v>0</v>
      </c>
      <c r="R28" s="263">
        <f t="shared" si="0"/>
        <v>0</v>
      </c>
      <c r="S28" s="263">
        <f t="shared" si="0"/>
        <v>0</v>
      </c>
      <c r="T28" s="263">
        <f t="shared" si="0"/>
        <v>0</v>
      </c>
      <c r="U28" s="263">
        <f t="shared" si="0"/>
        <v>0</v>
      </c>
      <c r="V28" s="263">
        <f t="shared" si="0"/>
        <v>0</v>
      </c>
      <c r="W28" s="263">
        <f t="shared" si="0"/>
        <v>0</v>
      </c>
      <c r="X28" s="152"/>
      <c r="Y28" s="161" t="s">
        <v>179</v>
      </c>
      <c r="Z28" s="51" t="s">
        <v>154</v>
      </c>
    </row>
    <row r="29" spans="1:26" ht="15" customHeight="1">
      <c r="B29" s="7"/>
      <c r="C29" s="7"/>
      <c r="D29" s="7"/>
      <c r="E29" s="7"/>
      <c r="F29" s="7"/>
      <c r="G29" s="7"/>
      <c r="H29" s="7"/>
      <c r="I29" s="7"/>
      <c r="J29" s="7"/>
      <c r="L29" s="1444">
        <f>+L28+M28+N28</f>
        <v>0</v>
      </c>
      <c r="M29" s="1445"/>
      <c r="N29" s="1446"/>
      <c r="O29" s="1444">
        <f>+O28+P28+Q28</f>
        <v>0</v>
      </c>
      <c r="P29" s="1445"/>
      <c r="Q29" s="1446"/>
      <c r="R29" s="1444">
        <f>+R28+S28+T28</f>
        <v>0</v>
      </c>
      <c r="S29" s="1445"/>
      <c r="T29" s="1446"/>
      <c r="U29" s="1444">
        <f>+U28+V28+W28</f>
        <v>0</v>
      </c>
      <c r="V29" s="1445"/>
      <c r="W29" s="1446"/>
      <c r="X29" s="152"/>
      <c r="Y29" s="162" t="s">
        <v>180</v>
      </c>
      <c r="Z29" s="51" t="s">
        <v>154</v>
      </c>
    </row>
    <row r="30" spans="1:26" s="15" customFormat="1" ht="15">
      <c r="A30" s="12"/>
      <c r="B30" s="7"/>
      <c r="C30" s="7"/>
      <c r="D30" s="7"/>
      <c r="E30" s="7"/>
      <c r="F30" s="7"/>
      <c r="G30" s="7"/>
      <c r="H30" s="7"/>
      <c r="I30" s="7"/>
      <c r="J30" s="7"/>
      <c r="K30" s="148"/>
      <c r="L30" s="176"/>
      <c r="M30" s="177"/>
      <c r="N30" s="177"/>
      <c r="O30" s="177"/>
      <c r="P30" s="1432">
        <f>SUM(L28:W28)</f>
        <v>0</v>
      </c>
      <c r="Q30" s="1432"/>
      <c r="R30" s="177" t="s">
        <v>187</v>
      </c>
      <c r="S30" s="178"/>
      <c r="T30" s="178"/>
      <c r="U30" s="177"/>
      <c r="V30" s="177"/>
      <c r="W30" s="179"/>
      <c r="X30" s="152"/>
      <c r="Y30" s="1440" t="str">
        <f>IF(P30&lt;0,"Abgabe",IF(P30&gt;0,"Erstattung","keine Steuer"))</f>
        <v>keine Steuer</v>
      </c>
      <c r="Z30" s="1441"/>
    </row>
    <row r="31" spans="1:26" s="22" customFormat="1">
      <c r="A31" s="12"/>
      <c r="B31" s="4"/>
      <c r="C31" s="5"/>
      <c r="D31" s="5"/>
      <c r="E31" s="6"/>
      <c r="F31" s="19"/>
      <c r="G31" s="20"/>
      <c r="H31" s="21"/>
      <c r="K31" s="149"/>
      <c r="L31" s="45"/>
      <c r="M31" s="45"/>
      <c r="N31" s="45"/>
      <c r="O31" s="45"/>
      <c r="P31" s="45"/>
      <c r="Q31" s="45"/>
      <c r="R31" s="45"/>
      <c r="S31" s="45"/>
      <c r="T31" s="45"/>
      <c r="U31" s="45"/>
      <c r="V31" s="45"/>
      <c r="W31" s="45"/>
      <c r="X31" s="45"/>
      <c r="Y31" s="46"/>
      <c r="Z31" s="46"/>
    </row>
    <row r="32" spans="1:26" ht="13.15" thickBot="1">
      <c r="B32" s="23"/>
      <c r="L32" s="163"/>
      <c r="M32" s="163"/>
      <c r="N32" s="163"/>
      <c r="O32" s="163"/>
      <c r="P32" s="163"/>
      <c r="Q32" s="163"/>
      <c r="R32" s="163"/>
      <c r="S32" s="163"/>
      <c r="T32" s="163"/>
      <c r="U32" s="163"/>
      <c r="V32" s="163"/>
      <c r="W32" s="163"/>
      <c r="X32" s="163"/>
      <c r="Y32" s="163"/>
      <c r="Z32" s="163"/>
    </row>
    <row r="33" spans="1:26">
      <c r="B33" s="23"/>
    </row>
    <row r="34" spans="1:26" s="35" customFormat="1" ht="17.649999999999999" customHeight="1">
      <c r="A34" s="40"/>
      <c r="B34" s="41"/>
      <c r="E34" s="41"/>
      <c r="F34" s="41"/>
      <c r="H34" s="41"/>
      <c r="I34" s="42"/>
      <c r="K34" s="146"/>
      <c r="L34" s="144" t="s">
        <v>412</v>
      </c>
      <c r="M34" s="43"/>
      <c r="N34" s="43"/>
      <c r="O34" s="43"/>
      <c r="P34" s="43"/>
      <c r="Q34" s="43"/>
      <c r="R34" s="43"/>
      <c r="S34" s="43"/>
      <c r="T34" s="43"/>
      <c r="U34" s="43"/>
      <c r="V34" s="43"/>
      <c r="W34" s="43"/>
      <c r="X34" s="43"/>
      <c r="Y34" s="1436"/>
      <c r="Z34" s="1436"/>
    </row>
    <row r="35" spans="1:26" s="35" customFormat="1" ht="13.15">
      <c r="A35" s="40"/>
      <c r="B35" s="41"/>
      <c r="E35" s="41"/>
      <c r="F35" s="41"/>
      <c r="H35" s="41"/>
      <c r="I35" s="42"/>
      <c r="K35" s="146"/>
      <c r="L35" s="142" t="s">
        <v>36</v>
      </c>
      <c r="M35" s="142" t="s">
        <v>37</v>
      </c>
      <c r="N35" s="142" t="s">
        <v>38</v>
      </c>
      <c r="O35" s="142" t="s">
        <v>39</v>
      </c>
      <c r="P35" s="142" t="s">
        <v>40</v>
      </c>
      <c r="Q35" s="142" t="s">
        <v>41</v>
      </c>
      <c r="R35" s="142" t="s">
        <v>42</v>
      </c>
      <c r="S35" s="142" t="s">
        <v>43</v>
      </c>
      <c r="T35" s="142" t="s">
        <v>44</v>
      </c>
      <c r="U35" s="142" t="s">
        <v>45</v>
      </c>
      <c r="V35" s="142" t="s">
        <v>46</v>
      </c>
      <c r="W35" s="142" t="s">
        <v>47</v>
      </c>
      <c r="X35" s="152"/>
      <c r="Y35" s="1442" t="s">
        <v>149</v>
      </c>
      <c r="Z35" s="1443"/>
    </row>
    <row r="36" spans="1:26" ht="13.5">
      <c r="B36" s="7"/>
      <c r="C36" s="7"/>
      <c r="D36" s="7"/>
      <c r="E36" s="7"/>
      <c r="F36" s="7"/>
      <c r="G36" s="7"/>
      <c r="H36" s="7"/>
      <c r="I36" s="7"/>
      <c r="J36" s="7"/>
      <c r="L36" s="265" t="str">
        <f t="shared" ref="L36:L37" si="1">IF(L38&lt;&gt;"!",+L38,"!")</f>
        <v>!</v>
      </c>
      <c r="M36" s="265" t="str">
        <f>IF(L38&lt;&gt;"!",+L38,"!")</f>
        <v>!</v>
      </c>
      <c r="N36" s="265" t="str">
        <f>IF(L38&lt;&gt;"!",+L38,"!")</f>
        <v>!</v>
      </c>
      <c r="O36" s="265" t="str">
        <f t="shared" ref="O36:O37" si="2">IF(O38&lt;&gt;"!",+O38,"!")</f>
        <v>!</v>
      </c>
      <c r="P36" s="265" t="str">
        <f>IF(O38&lt;&gt;"!",+O38,"!")</f>
        <v>!</v>
      </c>
      <c r="Q36" s="265" t="str">
        <f>IF(O38&lt;&gt;"!",+O38,"!")</f>
        <v>!</v>
      </c>
      <c r="R36" s="265" t="str">
        <f t="shared" ref="R36:R37" si="3">IF(R38&lt;&gt;"!",+R38,"!")</f>
        <v>!</v>
      </c>
      <c r="S36" s="265" t="str">
        <f>IF(R38&lt;&gt;"!",+R38,"!")</f>
        <v>!</v>
      </c>
      <c r="T36" s="265" t="str">
        <f>IF(R38&lt;&gt;"!",+R38,"!")</f>
        <v>!</v>
      </c>
      <c r="U36" s="265" t="str">
        <f t="shared" ref="U36" si="4">IF(U38&lt;&gt;"!",+U38,"!")</f>
        <v>!</v>
      </c>
      <c r="V36" s="265" t="str">
        <f>IF(U38&lt;&gt;"!",+U38,"!")</f>
        <v>!</v>
      </c>
      <c r="W36" s="265" t="str">
        <f>IF(U38&lt;&gt;"!",+U38,"!")</f>
        <v>!</v>
      </c>
      <c r="X36" s="152"/>
      <c r="Y36" s="128" t="s">
        <v>146</v>
      </c>
      <c r="Z36" s="153" t="s">
        <v>408</v>
      </c>
    </row>
    <row r="37" spans="1:26" ht="13.5">
      <c r="L37" s="265" t="str">
        <f t="shared" si="1"/>
        <v>!</v>
      </c>
      <c r="M37" s="265" t="str">
        <f>IF(L39&lt;&gt;"!",+L39,"!")</f>
        <v>!</v>
      </c>
      <c r="N37" s="265" t="str">
        <f>IF(L39&lt;&gt;"!",+L39,"!")</f>
        <v>!</v>
      </c>
      <c r="O37" s="265" t="str">
        <f t="shared" si="2"/>
        <v>!</v>
      </c>
      <c r="P37" s="265" t="str">
        <f>IF(O39&lt;&gt;"!",+O39,"!")</f>
        <v>!</v>
      </c>
      <c r="Q37" s="265" t="str">
        <f>IF(O39&lt;&gt;"!",+O39,"!")</f>
        <v>!</v>
      </c>
      <c r="R37" s="265" t="str">
        <f t="shared" si="3"/>
        <v>!</v>
      </c>
      <c r="S37" s="265" t="str">
        <f>IF(R39&lt;&gt;"!",+R39,"!")</f>
        <v>!</v>
      </c>
      <c r="T37" s="265" t="str">
        <f>IF(R39&lt;&gt;"!",+R39,"!")</f>
        <v>!</v>
      </c>
      <c r="U37" s="265" t="str">
        <f t="shared" ref="U37" si="5">IF(U39&lt;&gt;"!",+U39,"!")</f>
        <v>!</v>
      </c>
      <c r="V37" s="265" t="str">
        <f>IF(U39&lt;&gt;"!",+U39,"!")</f>
        <v>!</v>
      </c>
      <c r="W37" s="265" t="str">
        <f>IF(U39&lt;&gt;"!",+U39,"!")</f>
        <v>!</v>
      </c>
      <c r="X37" s="152"/>
      <c r="Y37" s="129" t="s">
        <v>146</v>
      </c>
      <c r="Z37" s="154" t="s">
        <v>409</v>
      </c>
    </row>
    <row r="38" spans="1:26" ht="15.4" customHeight="1">
      <c r="L38" s="1433" t="str">
        <f>IF(AND($W$4="final",$K$4=0),+$W$5,"!")</f>
        <v>!</v>
      </c>
      <c r="M38" s="1434"/>
      <c r="N38" s="1435"/>
      <c r="O38" s="1433" t="str">
        <f>IF(AND($W$4="final",$K$4=0),+$W$5,"!")</f>
        <v>!</v>
      </c>
      <c r="P38" s="1434"/>
      <c r="Q38" s="1435"/>
      <c r="R38" s="1433" t="str">
        <f>IF(AND($W$4="final",$K$4=0),+$W$5,"!")</f>
        <v>!</v>
      </c>
      <c r="S38" s="1434"/>
      <c r="T38" s="1435"/>
      <c r="U38" s="1433" t="str">
        <f>IF(AND($W$4="final",$K$4=0),+$W$5,"!")</f>
        <v>!</v>
      </c>
      <c r="V38" s="1434"/>
      <c r="W38" s="1435"/>
      <c r="X38" s="152"/>
      <c r="Y38" s="128" t="s">
        <v>146</v>
      </c>
      <c r="Z38" s="153" t="s">
        <v>410</v>
      </c>
    </row>
    <row r="39" spans="1:26" ht="13.5">
      <c r="L39" s="1451" t="str">
        <f>IF(AND($W$4="final",$K$4=0),+$W$5,"!")</f>
        <v>!</v>
      </c>
      <c r="M39" s="1452"/>
      <c r="N39" s="1453"/>
      <c r="O39" s="1451" t="str">
        <f>IF(AND($W$4="final",$K$4=0),+$W$5,"!")</f>
        <v>!</v>
      </c>
      <c r="P39" s="1452"/>
      <c r="Q39" s="1453"/>
      <c r="R39" s="1451" t="str">
        <f>IF(AND($W$4="final",$K$4=0),+$W$5,"!")</f>
        <v>!</v>
      </c>
      <c r="S39" s="1452"/>
      <c r="T39" s="1453"/>
      <c r="U39" s="1451" t="str">
        <f>IF(AND($W$4="final",$K$4=0),+$W$5,"!")</f>
        <v>!</v>
      </c>
      <c r="V39" s="1452"/>
      <c r="W39" s="1453"/>
      <c r="X39" s="152"/>
      <c r="Y39" s="129" t="s">
        <v>146</v>
      </c>
      <c r="Z39" s="154" t="s">
        <v>411</v>
      </c>
    </row>
    <row r="40" spans="1:26">
      <c r="Y40" s="1461"/>
      <c r="Z40" s="1461"/>
    </row>
  </sheetData>
  <sheetProtection formatCells="0"/>
  <sortState xmlns:xlrd2="http://schemas.microsoft.com/office/spreadsheetml/2017/richdata2" ref="Y2:Z2">
    <sortCondition descending="1" ref="Y2"/>
  </sortState>
  <mergeCells count="54">
    <mergeCell ref="Y40:Z40"/>
    <mergeCell ref="L2:O2"/>
    <mergeCell ref="Y27:Z27"/>
    <mergeCell ref="L10:N10"/>
    <mergeCell ref="O10:Q10"/>
    <mergeCell ref="R10:T10"/>
    <mergeCell ref="U10:W10"/>
    <mergeCell ref="L11:N11"/>
    <mergeCell ref="O11:Q11"/>
    <mergeCell ref="R11:T11"/>
    <mergeCell ref="U11:W11"/>
    <mergeCell ref="Y24:Z24"/>
    <mergeCell ref="R23:T23"/>
    <mergeCell ref="Y2:Z2"/>
    <mergeCell ref="L4:O4"/>
    <mergeCell ref="Y4:Z5"/>
    <mergeCell ref="P12:Q12"/>
    <mergeCell ref="L20:W20"/>
    <mergeCell ref="L23:N23"/>
    <mergeCell ref="O23:Q23"/>
    <mergeCell ref="L29:N29"/>
    <mergeCell ref="O29:Q29"/>
    <mergeCell ref="R29:T29"/>
    <mergeCell ref="L17:N17"/>
    <mergeCell ref="O17:Q17"/>
    <mergeCell ref="R17:T17"/>
    <mergeCell ref="U17:W17"/>
    <mergeCell ref="O18:Q18"/>
    <mergeCell ref="M18:N18"/>
    <mergeCell ref="L39:N39"/>
    <mergeCell ref="O39:Q39"/>
    <mergeCell ref="R39:T39"/>
    <mergeCell ref="U39:W39"/>
    <mergeCell ref="Y34:Z34"/>
    <mergeCell ref="L38:N38"/>
    <mergeCell ref="O38:Q38"/>
    <mergeCell ref="R38:T38"/>
    <mergeCell ref="Y35:Z35"/>
    <mergeCell ref="P30:Q30"/>
    <mergeCell ref="U38:W38"/>
    <mergeCell ref="Y6:Z6"/>
    <mergeCell ref="Y14:Z14"/>
    <mergeCell ref="Y20:Z20"/>
    <mergeCell ref="Y26:Z26"/>
    <mergeCell ref="U23:W23"/>
    <mergeCell ref="Y30:Z30"/>
    <mergeCell ref="Y21:Z21"/>
    <mergeCell ref="Y7:Z7"/>
    <mergeCell ref="Y12:Z12"/>
    <mergeCell ref="Y15:Z15"/>
    <mergeCell ref="Y18:Z18"/>
    <mergeCell ref="U29:W29"/>
    <mergeCell ref="L24:W24"/>
    <mergeCell ref="M12:N12"/>
  </mergeCells>
  <conditionalFormatting sqref="B36:B39">
    <cfRule type="expression" dxfId="120" priority="8031" stopIfTrue="1">
      <formula>$B$27="x"</formula>
    </cfRule>
    <cfRule type="expression" dxfId="119" priority="8032" stopIfTrue="1">
      <formula>$B$27="ü"</formula>
    </cfRule>
  </conditionalFormatting>
  <conditionalFormatting sqref="K4:L4 P4:Y4 K5:X5 K6:Y6 K7:Z7 K8:W11 Y8:Z11 K12:Z13 K14:Y14 K15:Z15 K16:W17 Y16:Z17 K18:O18 R18:Z18 K19:Z19 K20:Y20 K21:Z25 K26:Y26 K27:Z30 K34:Y34 K35:Z39">
    <cfRule type="expression" dxfId="118" priority="1">
      <formula>$K$2=0</formula>
    </cfRule>
  </conditionalFormatting>
  <conditionalFormatting sqref="L2">
    <cfRule type="cellIs" dxfId="117" priority="262" operator="equal">
      <formula>"umsatzsteuerpflichtig "</formula>
    </cfRule>
  </conditionalFormatting>
  <conditionalFormatting sqref="L4">
    <cfRule type="expression" dxfId="116" priority="271">
      <formula>$K$4&gt;0</formula>
    </cfRule>
  </conditionalFormatting>
  <conditionalFormatting sqref="L36">
    <cfRule type="expression" dxfId="115" priority="38">
      <formula>AND(L36&lt;&gt;"!",L37="!")</formula>
    </cfRule>
    <cfRule type="expression" dxfId="114" priority="30">
      <formula>AND(L36="!",L37&lt;&gt;"!")</formula>
    </cfRule>
    <cfRule type="expression" dxfId="113" priority="31">
      <formula>AND(L36&lt;&gt;"!",L37&lt;&gt;"!")</formula>
    </cfRule>
  </conditionalFormatting>
  <conditionalFormatting sqref="L37">
    <cfRule type="expression" dxfId="112" priority="44">
      <formula>AND(L37="!",L36&lt;&gt;"!")</formula>
    </cfRule>
    <cfRule type="cellIs" dxfId="111" priority="129" operator="notEqual">
      <formula>"!"</formula>
    </cfRule>
  </conditionalFormatting>
  <conditionalFormatting sqref="L17:N17">
    <cfRule type="expression" dxfId="110" priority="15">
      <formula>L39&lt;&gt;"!"</formula>
    </cfRule>
  </conditionalFormatting>
  <conditionalFormatting sqref="L39:N39">
    <cfRule type="expression" dxfId="109" priority="100">
      <formula>AND(L39="!",L38&lt;&gt;"!")</formula>
    </cfRule>
    <cfRule type="cellIs" dxfId="108" priority="99" operator="notEqual">
      <formula>"!"</formula>
    </cfRule>
    <cfRule type="expression" dxfId="107" priority="102">
      <formula>AND(L39="!",L38&lt;&gt;"!")</formula>
    </cfRule>
    <cfRule type="cellIs" dxfId="106" priority="101" operator="notEqual">
      <formula>"!"</formula>
    </cfRule>
    <cfRule type="expression" dxfId="105" priority="98">
      <formula>$K$4=1</formula>
    </cfRule>
  </conditionalFormatting>
  <conditionalFormatting sqref="L29:Q29">
    <cfRule type="expression" dxfId="104" priority="33">
      <formula>$K$4=0</formula>
    </cfRule>
    <cfRule type="expression" dxfId="103" priority="34">
      <formula>$K$4=1</formula>
    </cfRule>
    <cfRule type="expression" dxfId="102" priority="35">
      <formula>L39&lt;&gt;"!"</formula>
    </cfRule>
  </conditionalFormatting>
  <conditionalFormatting sqref="L39:Q39">
    <cfRule type="expression" dxfId="101" priority="81">
      <formula>AND(L39="!",L38&lt;&gt;"!")</formula>
    </cfRule>
    <cfRule type="cellIs" dxfId="100" priority="80" operator="notEqual">
      <formula>"!"</formula>
    </cfRule>
  </conditionalFormatting>
  <conditionalFormatting sqref="L8:W8">
    <cfRule type="expression" dxfId="99" priority="8133">
      <formula>L37&lt;&gt;"!"</formula>
    </cfRule>
  </conditionalFormatting>
  <conditionalFormatting sqref="L9:W9">
    <cfRule type="expression" dxfId="98" priority="8134">
      <formula>L37</formula>
    </cfRule>
  </conditionalFormatting>
  <conditionalFormatting sqref="L10:W10">
    <cfRule type="expression" dxfId="97" priority="8137">
      <formula>L39&lt;&gt;"!"</formula>
    </cfRule>
  </conditionalFormatting>
  <conditionalFormatting sqref="L10:W11 Y10:Z11">
    <cfRule type="expression" dxfId="96" priority="120">
      <formula>$K$4=1</formula>
    </cfRule>
  </conditionalFormatting>
  <conditionalFormatting sqref="L11:W11">
    <cfRule type="expression" dxfId="95" priority="8138">
      <formula>L39&lt;&gt;"!"</formula>
    </cfRule>
  </conditionalFormatting>
  <conditionalFormatting sqref="L16:W16">
    <cfRule type="expression" dxfId="94" priority="94">
      <formula>L36&lt;&gt;"!"</formula>
    </cfRule>
  </conditionalFormatting>
  <conditionalFormatting sqref="L16:W17 Y16:Z17 L8:W11 Y8:Z11">
    <cfRule type="expression" dxfId="93" priority="5">
      <formula>$K$4=0</formula>
    </cfRule>
  </conditionalFormatting>
  <conditionalFormatting sqref="L17:W17 Y17:Z17">
    <cfRule type="expression" dxfId="92" priority="4">
      <formula>$K$4=1</formula>
    </cfRule>
  </conditionalFormatting>
  <conditionalFormatting sqref="L22:W22">
    <cfRule type="expression" dxfId="91" priority="8141">
      <formula>L37&lt;&gt;"!"</formula>
    </cfRule>
  </conditionalFormatting>
  <conditionalFormatting sqref="L23:W23 Y23:Z23">
    <cfRule type="expression" dxfId="90" priority="114">
      <formula>$K$4=1</formula>
    </cfRule>
  </conditionalFormatting>
  <conditionalFormatting sqref="L23:W23">
    <cfRule type="expression" dxfId="89" priority="8143">
      <formula>L39&lt;&gt;"!"</formula>
    </cfRule>
  </conditionalFormatting>
  <conditionalFormatting sqref="L28:W28">
    <cfRule type="expression" dxfId="88" priority="8145">
      <formula>L37&lt;&gt;"!"</formula>
    </cfRule>
  </conditionalFormatting>
  <conditionalFormatting sqref="L36:W36">
    <cfRule type="expression" dxfId="87" priority="132">
      <formula>AND(L36&lt;&gt;"!",L37="!")</formula>
    </cfRule>
    <cfRule type="expression" dxfId="86" priority="131">
      <formula>AND(L36&lt;&gt;"!",L37&lt;&gt;"!")</formula>
    </cfRule>
    <cfRule type="expression" dxfId="85" priority="130">
      <formula>AND(L36="!",L37&lt;&gt;"!")</formula>
    </cfRule>
  </conditionalFormatting>
  <conditionalFormatting sqref="L36:W37 Y36:Z37">
    <cfRule type="expression" dxfId="84" priority="19">
      <formula>$K$4=2</formula>
    </cfRule>
  </conditionalFormatting>
  <conditionalFormatting sqref="L37:W37">
    <cfRule type="expression" dxfId="83" priority="133">
      <formula>AND(L37="!",L36&lt;&gt;"!")</formula>
    </cfRule>
    <cfRule type="cellIs" dxfId="82" priority="134" operator="notEqual">
      <formula>"!"</formula>
    </cfRule>
  </conditionalFormatting>
  <conditionalFormatting sqref="L38:W38">
    <cfRule type="expression" dxfId="81" priority="143">
      <formula>AND(L38="!",L39&lt;&gt;"!")</formula>
    </cfRule>
    <cfRule type="expression" dxfId="80" priority="144">
      <formula>AND(L38&lt;&gt;"!",L39&lt;&gt;"!")</formula>
    </cfRule>
    <cfRule type="expression" dxfId="79" priority="145">
      <formula>AND(L38&lt;&gt;"!",L39="!")</formula>
    </cfRule>
  </conditionalFormatting>
  <conditionalFormatting sqref="L38:W39 Y38:Z39">
    <cfRule type="expression" dxfId="78" priority="128">
      <formula>$K$4=1</formula>
    </cfRule>
  </conditionalFormatting>
  <conditionalFormatting sqref="L39:W39">
    <cfRule type="cellIs" dxfId="77" priority="162" operator="notEqual">
      <formula>"!"</formula>
    </cfRule>
    <cfRule type="expression" dxfId="76" priority="163">
      <formula>AND(L39="!",L38&lt;&gt;"!")</formula>
    </cfRule>
  </conditionalFormatting>
  <conditionalFormatting sqref="L34:X34 L35:Z39">
    <cfRule type="expression" dxfId="75" priority="17">
      <formula>$K$4=0</formula>
    </cfRule>
  </conditionalFormatting>
  <conditionalFormatting sqref="L22:Z23">
    <cfRule type="expression" dxfId="74" priority="92">
      <formula>$K$4=0</formula>
    </cfRule>
  </conditionalFormatting>
  <conditionalFormatting sqref="L28:Z28 R29:Z29">
    <cfRule type="expression" dxfId="73" priority="89">
      <formula>$K$4=0</formula>
    </cfRule>
  </conditionalFormatting>
  <conditionalFormatting sqref="L32:Z33">
    <cfRule type="expression" dxfId="72" priority="85">
      <formula>$K$2=0</formula>
    </cfRule>
    <cfRule type="expression" dxfId="71" priority="86">
      <formula>$K$4=0</formula>
    </cfRule>
  </conditionalFormatting>
  <conditionalFormatting sqref="M12:N12">
    <cfRule type="expression" dxfId="70" priority="105">
      <formula>$L$12=0</formula>
    </cfRule>
  </conditionalFormatting>
  <conditionalFormatting sqref="M18:N18">
    <cfRule type="expression" dxfId="69" priority="10">
      <formula>$L$12=0</formula>
    </cfRule>
  </conditionalFormatting>
  <conditionalFormatting sqref="O36">
    <cfRule type="expression" dxfId="68" priority="25">
      <formula>AND(O36="!",O37&lt;&gt;"!")</formula>
    </cfRule>
    <cfRule type="expression" dxfId="67" priority="27">
      <formula>AND(O36&lt;&gt;"!",O37="!")</formula>
    </cfRule>
    <cfRule type="expression" dxfId="66" priority="26">
      <formula>AND(O36&lt;&gt;"!",O37&lt;&gt;"!")</formula>
    </cfRule>
  </conditionalFormatting>
  <conditionalFormatting sqref="O37">
    <cfRule type="cellIs" dxfId="65" priority="29" operator="notEqual">
      <formula>"!"</formula>
    </cfRule>
    <cfRule type="expression" dxfId="64" priority="28">
      <formula>AND(O37="!",O36&lt;&gt;"!")</formula>
    </cfRule>
  </conditionalFormatting>
  <conditionalFormatting sqref="O17:Q17">
    <cfRule type="expression" dxfId="63" priority="13">
      <formula>$O$39&lt;&gt;"!"</formula>
    </cfRule>
  </conditionalFormatting>
  <conditionalFormatting sqref="O18:Q18">
    <cfRule type="expression" dxfId="62" priority="3">
      <formula>$R$18=0</formula>
    </cfRule>
  </conditionalFormatting>
  <conditionalFormatting sqref="O39:Q39">
    <cfRule type="expression" dxfId="61" priority="66">
      <formula>$K$4=1</formula>
    </cfRule>
    <cfRule type="expression" dxfId="60" priority="72">
      <formula>AND(O39="!",O38&lt;&gt;"!")</formula>
    </cfRule>
    <cfRule type="cellIs" dxfId="59" priority="73" operator="notEqual">
      <formula>"!"</formula>
    </cfRule>
    <cfRule type="expression" dxfId="58" priority="74">
      <formula>AND(O39="!",O38&lt;&gt;"!")</formula>
    </cfRule>
    <cfRule type="expression" dxfId="57" priority="75">
      <formula>$K$4=1</formula>
    </cfRule>
    <cfRule type="cellIs" dxfId="56" priority="76" operator="notEqual">
      <formula>"!"</formula>
    </cfRule>
    <cfRule type="expression" dxfId="55" priority="77">
      <formula>AND(O39="!",O38&lt;&gt;"!")</formula>
    </cfRule>
    <cfRule type="cellIs" dxfId="54" priority="78" operator="notEqual">
      <formula>"!"</formula>
    </cfRule>
    <cfRule type="expression" dxfId="53" priority="79">
      <formula>AND(O39="!",O38&lt;&gt;"!")</formula>
    </cfRule>
    <cfRule type="cellIs" dxfId="52" priority="71" operator="notEqual">
      <formula>"!"</formula>
    </cfRule>
    <cfRule type="expression" dxfId="51" priority="70">
      <formula>AND(O39="!",O38&lt;&gt;"!")</formula>
    </cfRule>
    <cfRule type="cellIs" dxfId="50" priority="69" operator="notEqual">
      <formula>"!"</formula>
    </cfRule>
    <cfRule type="expression" dxfId="49" priority="68">
      <formula>AND(O39="!",O38&lt;&gt;"!")</formula>
    </cfRule>
    <cfRule type="cellIs" dxfId="48" priority="67" operator="notEqual">
      <formula>"!"</formula>
    </cfRule>
  </conditionalFormatting>
  <conditionalFormatting sqref="O39:T39">
    <cfRule type="expression" dxfId="47" priority="63">
      <formula>AND(O39="!",O38&lt;&gt;"!")</formula>
    </cfRule>
    <cfRule type="cellIs" dxfId="46" priority="62" operator="notEqual">
      <formula>"!"</formula>
    </cfRule>
  </conditionalFormatting>
  <conditionalFormatting sqref="P30 S30:T30">
    <cfRule type="cellIs" dxfId="45" priority="41" operator="lessThan">
      <formula>0</formula>
    </cfRule>
  </conditionalFormatting>
  <conditionalFormatting sqref="P12:Q12">
    <cfRule type="expression" dxfId="44" priority="104">
      <formula>$R$12=0</formula>
    </cfRule>
  </conditionalFormatting>
  <conditionalFormatting sqref="R30">
    <cfRule type="expression" dxfId="43" priority="2">
      <formula>$P$30=0</formula>
    </cfRule>
  </conditionalFormatting>
  <conditionalFormatting sqref="R36">
    <cfRule type="expression" dxfId="42" priority="22">
      <formula>AND(R36&lt;&gt;"!",R37="!")</formula>
    </cfRule>
    <cfRule type="expression" dxfId="41" priority="20">
      <formula>AND(R36="!",R37&lt;&gt;"!")</formula>
    </cfRule>
    <cfRule type="expression" dxfId="40" priority="21">
      <formula>AND(R36&lt;&gt;"!",R37&lt;&gt;"!")</formula>
    </cfRule>
  </conditionalFormatting>
  <conditionalFormatting sqref="R37">
    <cfRule type="expression" dxfId="39" priority="23">
      <formula>AND(R37="!",R36&lt;&gt;"!")</formula>
    </cfRule>
    <cfRule type="cellIs" dxfId="38" priority="24" operator="notEqual">
      <formula>"!"</formula>
    </cfRule>
  </conditionalFormatting>
  <conditionalFormatting sqref="R17:T17">
    <cfRule type="expression" dxfId="37" priority="12">
      <formula>$R$39&lt;&gt;"!"</formula>
    </cfRule>
  </conditionalFormatting>
  <conditionalFormatting sqref="R39:T39">
    <cfRule type="expression" dxfId="36" priority="61">
      <formula>AND(R39="!",R38&lt;&gt;"!")</formula>
    </cfRule>
    <cfRule type="cellIs" dxfId="35" priority="60" operator="notEqual">
      <formula>"!"</formula>
    </cfRule>
    <cfRule type="expression" dxfId="34" priority="59">
      <formula>AND(R39="!",R38&lt;&gt;"!")</formula>
    </cfRule>
    <cfRule type="cellIs" dxfId="33" priority="58" operator="notEqual">
      <formula>"!"</formula>
    </cfRule>
    <cfRule type="expression" dxfId="32" priority="57">
      <formula>$K$4=1</formula>
    </cfRule>
  </conditionalFormatting>
  <conditionalFormatting sqref="R29:W29 Y29:Z29">
    <cfRule type="expression" dxfId="31" priority="106">
      <formula>$K$4=1</formula>
    </cfRule>
  </conditionalFormatting>
  <conditionalFormatting sqref="R29:W29">
    <cfRule type="expression" dxfId="30" priority="8147">
      <formula>R39&lt;&gt;"!"</formula>
    </cfRule>
  </conditionalFormatting>
  <conditionalFormatting sqref="R39:W39">
    <cfRule type="expression" dxfId="29" priority="54">
      <formula>AND(R39="!",R38&lt;&gt;"!")</formula>
    </cfRule>
    <cfRule type="cellIs" dxfId="28" priority="53" operator="notEqual">
      <formula>"!"</formula>
    </cfRule>
  </conditionalFormatting>
  <conditionalFormatting sqref="U17:W17">
    <cfRule type="expression" dxfId="27" priority="11">
      <formula>$U$39&lt;&gt;"!"</formula>
    </cfRule>
  </conditionalFormatting>
  <conditionalFormatting sqref="U38:W38">
    <cfRule type="expression" dxfId="26" priority="84">
      <formula>AND(U38&lt;&gt;"!",U39="!")</formula>
    </cfRule>
    <cfRule type="expression" dxfId="25" priority="83">
      <formula>AND(U38&lt;&gt;"!",U39&lt;&gt;"!")</formula>
    </cfRule>
    <cfRule type="expression" dxfId="24" priority="82">
      <formula>AND(U38="!",U39&lt;&gt;"!")</formula>
    </cfRule>
  </conditionalFormatting>
  <conditionalFormatting sqref="U39:W39">
    <cfRule type="expression" dxfId="23" priority="52">
      <formula>AND(U39="!",U38&lt;&gt;"!")</formula>
    </cfRule>
    <cfRule type="cellIs" dxfId="22" priority="51" operator="notEqual">
      <formula>"!"</formula>
    </cfRule>
    <cfRule type="expression" dxfId="21" priority="50">
      <formula>AND(U39="!",U38&lt;&gt;"!")</formula>
    </cfRule>
    <cfRule type="cellIs" dxfId="20" priority="49" operator="notEqual">
      <formula>"!"</formula>
    </cfRule>
    <cfRule type="expression" dxfId="19" priority="48">
      <formula>$K$4=1</formula>
    </cfRule>
    <cfRule type="expression" dxfId="18" priority="47">
      <formula>AND(U39="!",U38&lt;&gt;"!")</formula>
    </cfRule>
    <cfRule type="cellIs" dxfId="17" priority="46" operator="notEqual">
      <formula>"!"</formula>
    </cfRule>
  </conditionalFormatting>
  <conditionalFormatting sqref="V12">
    <cfRule type="expression" dxfId="16" priority="103">
      <formula>$W$12=0</formula>
    </cfRule>
  </conditionalFormatting>
  <conditionalFormatting sqref="V18">
    <cfRule type="expression" dxfId="15" priority="8">
      <formula>$W$12=0</formula>
    </cfRule>
  </conditionalFormatting>
  <conditionalFormatting sqref="W4">
    <cfRule type="cellIs" dxfId="14" priority="45" operator="equal">
      <formula>"final"</formula>
    </cfRule>
  </conditionalFormatting>
  <conditionalFormatting sqref="W4:W5">
    <cfRule type="expression" dxfId="13" priority="42">
      <formula>$K$4&lt;&gt;0</formula>
    </cfRule>
  </conditionalFormatting>
  <conditionalFormatting sqref="W5">
    <cfRule type="expression" dxfId="12" priority="43">
      <formula>$W$4="final"</formula>
    </cfRule>
  </conditionalFormatting>
  <conditionalFormatting sqref="X6:X7 X12:X15 X18:X30">
    <cfRule type="cellIs" dxfId="11" priority="39" operator="equal">
      <formula>""</formula>
    </cfRule>
  </conditionalFormatting>
  <conditionalFormatting sqref="X35:X39">
    <cfRule type="cellIs" dxfId="10" priority="87" operator="equal">
      <formula>""</formula>
    </cfRule>
  </conditionalFormatting>
  <conditionalFormatting sqref="Y8:Z9 X12 X18 L8:W9">
    <cfRule type="expression" dxfId="9" priority="121">
      <formula>$K$4=2</formula>
    </cfRule>
  </conditionalFormatting>
  <conditionalFormatting sqref="Y8:Z9">
    <cfRule type="expression" dxfId="8" priority="95">
      <formula>$K$4=2</formula>
    </cfRule>
  </conditionalFormatting>
  <conditionalFormatting sqref="Y16:Z16 L16:W16">
    <cfRule type="expression" dxfId="7" priority="18">
      <formula>$K$4=2</formula>
    </cfRule>
  </conditionalFormatting>
  <conditionalFormatting sqref="Y16:Z16">
    <cfRule type="expression" dxfId="6" priority="7">
      <formula>$K$4=2</formula>
    </cfRule>
  </conditionalFormatting>
  <conditionalFormatting sqref="Y22:Z22 L22:W22">
    <cfRule type="expression" dxfId="5" priority="115">
      <formula>$K$4=2</formula>
    </cfRule>
  </conditionalFormatting>
  <conditionalFormatting sqref="Y22:Z22">
    <cfRule type="expression" dxfId="4" priority="93">
      <formula>$K$4=2</formula>
    </cfRule>
  </conditionalFormatting>
  <conditionalFormatting sqref="Y28:Z28 L28:W28">
    <cfRule type="expression" dxfId="3" priority="107">
      <formula>$K$4=2</formula>
    </cfRule>
  </conditionalFormatting>
  <conditionalFormatting sqref="Y28:Z28">
    <cfRule type="expression" dxfId="2" priority="91">
      <formula>$K$4=2</formula>
    </cfRule>
  </conditionalFormatting>
  <conditionalFormatting sqref="Y30:Z30">
    <cfRule type="expression" dxfId="1" priority="40">
      <formula>$P$30&lt;0</formula>
    </cfRule>
  </conditionalFormatting>
  <conditionalFormatting sqref="Y36:Z37">
    <cfRule type="expression" dxfId="0" priority="96">
      <formula>$K$4=2</formula>
    </cfRule>
  </conditionalFormatting>
  <dataValidations count="1">
    <dataValidation type="list" allowBlank="1" showInputMessage="1" showErrorMessage="1" sqref="W4" xr:uid="{836016D9-CD7B-4B92-8477-31FA3CFE060D}">
      <formula1>"in Arbeit,final"</formula1>
    </dataValidation>
  </dataValidations>
  <hyperlinks>
    <hyperlink ref="Y2" location="'2022 EÜR'!A1" display="Menü" xr:uid="{33D638D0-ED0A-4839-AEED-B9FDF6A20786}"/>
    <hyperlink ref="Y2:Z2" location="EÜR!A1" display="EÜR" xr:uid="{35EB130D-7422-4343-95F9-69A29A5232B1}"/>
  </hyperlinks>
  <printOptions horizontalCentered="1"/>
  <pageMargins left="0" right="0" top="0" bottom="0.31496062992125984" header="0" footer="0"/>
  <pageSetup paperSize="9" orientation="landscape" r:id="rId1"/>
  <headerFooter>
    <oddFooter>&amp;L&amp;"Arial,Standard"&amp;8Datei: &amp;Z&amp;F/&amp;A&amp;C&amp;"Arial,Standard"&amp;8Seite &amp;P von &amp;N&amp;R&amp;"Arial,Standard"&amp;8Druck: &amp;D&amp;T Uhr</oddFooter>
  </headerFooter>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CDC574-7F2B-4EB5-A5CC-F7A237CD389C}">
  <sheetPr>
    <pageSetUpPr autoPageBreaks="0"/>
  </sheetPr>
  <dimension ref="A1:K30"/>
  <sheetViews>
    <sheetView showGridLines="0" showRowColHeaders="0" zoomScaleNormal="100" workbookViewId="0"/>
  </sheetViews>
  <sheetFormatPr baseColWidth="10" defaultColWidth="9.77734375" defaultRowHeight="15"/>
  <cols>
    <col min="1" max="1" width="0.77734375" style="79" customWidth="1"/>
    <col min="2" max="2" width="1" style="79" hidden="1" customWidth="1"/>
    <col min="3" max="3" width="2.109375" style="173" customWidth="1"/>
    <col min="4" max="4" width="4.77734375" style="78" customWidth="1"/>
    <col min="5" max="5" width="5.6640625" style="78" customWidth="1"/>
    <col min="6" max="6" width="3.5546875" style="78" customWidth="1"/>
    <col min="7" max="7" width="21" style="78" customWidth="1"/>
    <col min="8" max="8" width="25.5546875" style="78" customWidth="1"/>
    <col min="9" max="9" width="18.109375" style="78" customWidth="1"/>
    <col min="10" max="10" width="2.109375" style="78" customWidth="1"/>
    <col min="11" max="11" width="0.77734375" style="73" customWidth="1"/>
    <col min="12" max="16384" width="9.77734375" style="78"/>
  </cols>
  <sheetData>
    <row r="1" spans="1:11" s="96" customFormat="1" ht="21" customHeight="1">
      <c r="A1" s="39"/>
      <c r="C1" s="1503" t="s">
        <v>298</v>
      </c>
      <c r="D1" s="1503"/>
      <c r="E1" s="1503"/>
      <c r="F1" s="1503"/>
      <c r="G1" s="1503"/>
      <c r="H1" s="783"/>
      <c r="I1" s="1504" t="s">
        <v>413</v>
      </c>
      <c r="J1" s="1504"/>
      <c r="K1" s="73"/>
    </row>
    <row r="2" spans="1:11" s="96" customFormat="1" ht="5.0999999999999996" customHeight="1">
      <c r="C2" s="1514"/>
      <c r="D2" s="1515"/>
      <c r="E2" s="1515"/>
      <c r="F2" s="1515"/>
      <c r="G2" s="1515"/>
      <c r="H2" s="1515"/>
      <c r="I2" s="1515"/>
      <c r="J2" s="1516"/>
      <c r="K2" s="73"/>
    </row>
    <row r="3" spans="1:11" s="97" customFormat="1" ht="26.1" customHeight="1">
      <c r="B3" s="98"/>
      <c r="C3" s="168"/>
      <c r="D3" s="1496" t="s">
        <v>185</v>
      </c>
      <c r="E3" s="1496"/>
      <c r="F3" s="1496"/>
      <c r="G3" s="1496"/>
      <c r="H3" s="1496"/>
      <c r="I3" s="801" t="s">
        <v>414</v>
      </c>
      <c r="J3" s="1497" t="s">
        <v>299</v>
      </c>
      <c r="K3" s="73"/>
    </row>
    <row r="4" spans="1:11" ht="26.1" customHeight="1">
      <c r="C4" s="802" t="s">
        <v>283</v>
      </c>
      <c r="D4" s="1505" t="s">
        <v>300</v>
      </c>
      <c r="E4" s="1506"/>
      <c r="F4" s="1506"/>
      <c r="G4" s="1506"/>
      <c r="H4" s="795"/>
      <c r="I4" s="803" t="s">
        <v>301</v>
      </c>
      <c r="J4" s="1498"/>
    </row>
    <row r="5" spans="1:11" s="726" customFormat="1" ht="12" customHeight="1">
      <c r="C5" s="1507" t="s">
        <v>415</v>
      </c>
      <c r="D5" s="1507"/>
      <c r="E5" s="1507"/>
      <c r="F5" s="1507"/>
      <c r="G5" s="1507"/>
      <c r="H5" s="1507"/>
      <c r="I5" s="1507"/>
      <c r="K5" s="727"/>
    </row>
    <row r="6" spans="1:11" s="99" customFormat="1" ht="5.25" customHeight="1">
      <c r="C6" s="169"/>
      <c r="K6" s="100"/>
    </row>
    <row r="7" spans="1:11" s="96" customFormat="1" ht="8.1" customHeight="1">
      <c r="C7" s="728" t="s">
        <v>63</v>
      </c>
      <c r="D7" s="729"/>
      <c r="E7" s="729"/>
      <c r="F7" s="729"/>
      <c r="G7" s="729"/>
      <c r="H7" s="729"/>
      <c r="I7" s="729"/>
      <c r="J7" s="730"/>
      <c r="K7" s="73"/>
    </row>
    <row r="8" spans="1:11" s="104" customFormat="1" ht="17.649999999999999">
      <c r="A8" s="102"/>
      <c r="B8" s="102"/>
      <c r="C8" s="340" t="s">
        <v>63</v>
      </c>
      <c r="D8" s="1508" t="s">
        <v>302</v>
      </c>
      <c r="E8" s="1509"/>
      <c r="F8" s="1509"/>
      <c r="G8" s="1509"/>
      <c r="H8" s="1509"/>
      <c r="I8" s="1510"/>
      <c r="J8" s="325"/>
      <c r="K8" s="103"/>
    </row>
    <row r="9" spans="1:11" s="79" customFormat="1" ht="15.4">
      <c r="A9" s="105"/>
      <c r="B9" s="105"/>
      <c r="C9" s="796" t="s">
        <v>168</v>
      </c>
      <c r="D9" s="797" t="s">
        <v>303</v>
      </c>
      <c r="E9" s="1511" t="s">
        <v>304</v>
      </c>
      <c r="F9" s="1512"/>
      <c r="G9" s="1512"/>
      <c r="H9" s="1513"/>
      <c r="I9" s="453"/>
      <c r="J9" s="326"/>
      <c r="K9" s="107">
        <f>IF(C9="x",IF(I9&lt;&gt;0,1,0),0)</f>
        <v>0</v>
      </c>
    </row>
    <row r="10" spans="1:11" s="79" customFormat="1" ht="12" customHeight="1">
      <c r="C10" s="1499" t="s">
        <v>416</v>
      </c>
      <c r="D10" s="1500"/>
      <c r="E10" s="1500"/>
      <c r="F10" s="1500"/>
      <c r="G10" s="1500"/>
      <c r="H10" s="1500"/>
      <c r="I10" s="731"/>
      <c r="J10" s="732"/>
      <c r="K10" s="73"/>
    </row>
    <row r="11" spans="1:11" s="99" customFormat="1" ht="10.15" customHeight="1">
      <c r="C11" s="733" t="s">
        <v>5</v>
      </c>
      <c r="D11" s="1517"/>
      <c r="E11" s="1517"/>
      <c r="F11" s="1517"/>
      <c r="G11" s="1517"/>
      <c r="H11" s="1517"/>
      <c r="I11" s="1517"/>
      <c r="J11" s="734"/>
      <c r="K11" s="100"/>
    </row>
    <row r="12" spans="1:11" s="96" customFormat="1" ht="8.1" customHeight="1">
      <c r="C12" s="735" t="s">
        <v>5</v>
      </c>
      <c r="D12" s="736"/>
      <c r="E12" s="736"/>
      <c r="F12" s="736"/>
      <c r="G12" s="736"/>
      <c r="H12" s="736"/>
      <c r="I12" s="736"/>
      <c r="J12" s="737">
        <f>SUM(J5:J10)</f>
        <v>0</v>
      </c>
      <c r="K12" s="73"/>
    </row>
    <row r="13" spans="1:11" s="104" customFormat="1" ht="17.649999999999999">
      <c r="C13" s="344" t="s">
        <v>175</v>
      </c>
      <c r="D13" s="1508" t="s">
        <v>261</v>
      </c>
      <c r="E13" s="1509"/>
      <c r="F13" s="1509" t="s">
        <v>3</v>
      </c>
      <c r="G13" s="1509"/>
      <c r="H13" s="1509"/>
      <c r="I13" s="1510"/>
      <c r="J13" s="112"/>
      <c r="K13" s="103"/>
    </row>
    <row r="14" spans="1:11" s="79" customFormat="1">
      <c r="C14" s="344" t="s">
        <v>175</v>
      </c>
      <c r="D14" s="1518" t="s">
        <v>178</v>
      </c>
      <c r="E14" s="1519"/>
      <c r="F14" s="1520"/>
      <c r="G14" s="804" t="s">
        <v>417</v>
      </c>
      <c r="H14" s="738"/>
      <c r="I14" s="805" t="s">
        <v>305</v>
      </c>
      <c r="J14" s="796" t="s">
        <v>306</v>
      </c>
      <c r="K14" s="73"/>
    </row>
    <row r="15" spans="1:11" s="739" customFormat="1" ht="15" customHeight="1">
      <c r="C15" s="740" t="s">
        <v>175</v>
      </c>
      <c r="D15" s="1482" t="s">
        <v>419</v>
      </c>
      <c r="E15" s="1482"/>
      <c r="F15" s="1482"/>
      <c r="G15" s="1482"/>
      <c r="H15" s="806"/>
      <c r="I15" s="807"/>
      <c r="J15" s="808" t="s">
        <v>418</v>
      </c>
      <c r="K15" s="741"/>
    </row>
    <row r="16" spans="1:11" s="79" customFormat="1" ht="15.4">
      <c r="C16" s="344" t="s">
        <v>171</v>
      </c>
      <c r="D16" s="798" t="s">
        <v>171</v>
      </c>
      <c r="E16" s="1483" t="s">
        <v>167</v>
      </c>
      <c r="F16" s="1483"/>
      <c r="G16" s="1484"/>
      <c r="H16" s="799" t="s">
        <v>292</v>
      </c>
      <c r="I16" s="800" t="s">
        <v>293</v>
      </c>
      <c r="J16" s="382" t="str">
        <f>IF(I16="umsatzsteuerpflichtig ","ü","-")</f>
        <v>ü</v>
      </c>
      <c r="K16" s="73"/>
    </row>
    <row r="17" spans="3:11" s="79" customFormat="1" ht="35.1" customHeight="1">
      <c r="C17" s="344" t="s">
        <v>171</v>
      </c>
      <c r="D17" s="1482" t="s">
        <v>307</v>
      </c>
      <c r="E17" s="1482"/>
      <c r="F17" s="1482"/>
      <c r="G17" s="1482"/>
      <c r="H17" s="809" t="s">
        <v>420</v>
      </c>
      <c r="I17" s="810" t="s">
        <v>421</v>
      </c>
      <c r="J17" s="114"/>
      <c r="K17" s="73"/>
    </row>
    <row r="18" spans="3:11" s="79" customFormat="1">
      <c r="C18" s="344" t="s">
        <v>172</v>
      </c>
      <c r="D18" s="1485" t="s">
        <v>308</v>
      </c>
      <c r="E18" s="1486"/>
      <c r="F18" s="1486"/>
      <c r="G18" s="1487"/>
      <c r="H18" s="1488" t="s">
        <v>309</v>
      </c>
      <c r="I18" s="1489"/>
      <c r="J18" s="114"/>
      <c r="K18" s="73"/>
    </row>
    <row r="19" spans="3:11" s="79" customFormat="1">
      <c r="C19" s="344" t="s">
        <v>172</v>
      </c>
      <c r="D19" s="1490" t="s">
        <v>266</v>
      </c>
      <c r="E19" s="1491"/>
      <c r="F19" s="1491"/>
      <c r="G19" s="811" t="s">
        <v>310</v>
      </c>
      <c r="H19" s="454"/>
      <c r="I19" s="742"/>
      <c r="J19" s="114"/>
      <c r="K19" s="73"/>
    </row>
    <row r="20" spans="3:11" s="79" customFormat="1">
      <c r="C20" s="344" t="s">
        <v>172</v>
      </c>
      <c r="D20" s="1490" t="s">
        <v>267</v>
      </c>
      <c r="E20" s="1491"/>
      <c r="F20" s="1491"/>
      <c r="G20" s="811" t="s">
        <v>311</v>
      </c>
      <c r="H20" s="455"/>
      <c r="I20" s="743"/>
      <c r="J20" s="114"/>
      <c r="K20" s="73"/>
    </row>
    <row r="21" spans="3:11" s="79" customFormat="1" ht="15" customHeight="1">
      <c r="C21" s="344" t="s">
        <v>172</v>
      </c>
      <c r="D21" s="1490" t="s">
        <v>268</v>
      </c>
      <c r="E21" s="1491"/>
      <c r="F21" s="1491"/>
      <c r="G21" s="811" t="s">
        <v>312</v>
      </c>
      <c r="H21" s="744" t="str">
        <f>IF(I21&lt;0,"Einkommensteuer-Nachzahlung","Einkommensteuer-Erstattung")</f>
        <v>Einkommensteuer-Erstattung</v>
      </c>
      <c r="I21" s="805" t="s">
        <v>313</v>
      </c>
      <c r="J21" s="796" t="s">
        <v>314</v>
      </c>
      <c r="K21" s="73"/>
    </row>
    <row r="22" spans="3:11" s="79" customFormat="1" ht="15.4" customHeight="1">
      <c r="C22" s="344" t="s">
        <v>172</v>
      </c>
      <c r="D22" s="1501" t="s">
        <v>269</v>
      </c>
      <c r="E22" s="1502"/>
      <c r="F22" s="1502"/>
      <c r="G22" s="811" t="s">
        <v>315</v>
      </c>
      <c r="H22" s="1494" t="s">
        <v>422</v>
      </c>
      <c r="I22" s="1495"/>
      <c r="J22" s="812" t="s">
        <v>283</v>
      </c>
      <c r="K22" s="73"/>
    </row>
    <row r="23" spans="3:11" s="79" customFormat="1">
      <c r="C23" s="344" t="s">
        <v>172</v>
      </c>
      <c r="D23" s="1492" t="s">
        <v>276</v>
      </c>
      <c r="E23" s="1493"/>
      <c r="F23" s="1493"/>
      <c r="G23" s="811" t="s">
        <v>316</v>
      </c>
      <c r="H23" s="1494" t="s">
        <v>423</v>
      </c>
      <c r="I23" s="1495"/>
      <c r="J23" s="812" t="s">
        <v>283</v>
      </c>
      <c r="K23" s="73"/>
    </row>
    <row r="24" spans="3:11" s="96" customFormat="1" ht="5.0999999999999996" customHeight="1">
      <c r="C24" s="745" t="s">
        <v>5</v>
      </c>
      <c r="D24" s="746"/>
      <c r="E24" s="746"/>
      <c r="F24" s="747"/>
      <c r="G24" s="747"/>
      <c r="H24" s="748"/>
      <c r="I24" s="746"/>
      <c r="J24" s="749"/>
      <c r="K24" s="73"/>
    </row>
    <row r="25" spans="3:11">
      <c r="C25" s="337"/>
    </row>
    <row r="26" spans="3:11" ht="20.65" customHeight="1">
      <c r="C26" s="1473" t="s">
        <v>317</v>
      </c>
      <c r="D26" s="1474"/>
      <c r="E26" s="1474"/>
      <c r="F26" s="1474"/>
      <c r="G26" s="1474"/>
      <c r="H26" s="1474"/>
      <c r="I26" s="1474"/>
      <c r="J26" s="1475"/>
    </row>
    <row r="29" spans="3:11" ht="15" customHeight="1">
      <c r="C29" s="1476" t="s">
        <v>318</v>
      </c>
      <c r="D29" s="1477"/>
      <c r="E29" s="1477"/>
      <c r="F29" s="1477"/>
      <c r="G29" s="1477"/>
      <c r="H29" s="1477"/>
      <c r="I29" s="1477"/>
      <c r="J29" s="1478"/>
    </row>
    <row r="30" spans="3:11" ht="15" customHeight="1">
      <c r="C30" s="1479" t="s">
        <v>319</v>
      </c>
      <c r="D30" s="1480"/>
      <c r="E30" s="1480"/>
      <c r="F30" s="1480"/>
      <c r="G30" s="1480"/>
      <c r="H30" s="1480"/>
      <c r="I30" s="1480"/>
      <c r="J30" s="1481"/>
    </row>
  </sheetData>
  <sheetProtection sheet="1" objects="1" scenarios="1"/>
  <mergeCells count="28">
    <mergeCell ref="D3:H3"/>
    <mergeCell ref="J3:J4"/>
    <mergeCell ref="C10:H10"/>
    <mergeCell ref="D22:F22"/>
    <mergeCell ref="C1:G1"/>
    <mergeCell ref="I1:J1"/>
    <mergeCell ref="D4:G4"/>
    <mergeCell ref="C5:I5"/>
    <mergeCell ref="D8:I8"/>
    <mergeCell ref="E9:H9"/>
    <mergeCell ref="C2:J2"/>
    <mergeCell ref="D20:F20"/>
    <mergeCell ref="D21:F21"/>
    <mergeCell ref="D11:I11"/>
    <mergeCell ref="D13:I13"/>
    <mergeCell ref="D14:F14"/>
    <mergeCell ref="C26:J26"/>
    <mergeCell ref="C29:J29"/>
    <mergeCell ref="C30:J30"/>
    <mergeCell ref="D15:G15"/>
    <mergeCell ref="E16:G16"/>
    <mergeCell ref="D17:G17"/>
    <mergeCell ref="D18:G18"/>
    <mergeCell ref="H18:I18"/>
    <mergeCell ref="D19:F19"/>
    <mergeCell ref="D23:F23"/>
    <mergeCell ref="H22:I22"/>
    <mergeCell ref="H23:I23"/>
  </mergeCells>
  <printOptions horizontalCentered="1"/>
  <pageMargins left="0" right="0" top="0" bottom="0.31496062992125984" header="0" footer="0"/>
  <pageSetup paperSize="9" orientation="portrait" r:id="rId1"/>
  <headerFooter>
    <oddFooter>&amp;L&amp;"Arial,Standard"&amp;8Datei: &amp;Z&amp;F/&amp;A&amp;R&amp;"Arial,Standard"&amp;8Druck: &amp;D&amp;T Uhr</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060B85-3926-42FF-B30F-82F613CE5EC4}">
  <sheetPr codeName="Tabelle8">
    <tabColor theme="6" tint="0.39997558519241921"/>
    <pageSetUpPr autoPageBreaks="0"/>
  </sheetPr>
  <dimension ref="A1:AB51"/>
  <sheetViews>
    <sheetView showGridLines="0" showRowColHeaders="0" zoomScaleNormal="100" workbookViewId="0">
      <pane ySplit="3" topLeftCell="A4" activePane="bottomLeft" state="frozen"/>
      <selection activeCell="E4" sqref="E4:E46"/>
      <selection pane="bottomLeft" activeCell="A4" sqref="A4"/>
    </sheetView>
  </sheetViews>
  <sheetFormatPr baseColWidth="10" defaultColWidth="9.77734375" defaultRowHeight="12.75"/>
  <cols>
    <col min="1" max="1" width="0.77734375" style="12" customWidth="1"/>
    <col min="2" max="2" width="7.6640625" style="30" customWidth="1"/>
    <col min="3" max="3" width="21.6640625" style="24" customWidth="1"/>
    <col min="4" max="4" width="7.6640625" style="24" customWidth="1"/>
    <col min="5" max="5" width="6.6640625" style="25" customWidth="1"/>
    <col min="6" max="6" width="9.6640625" style="26" customWidth="1"/>
    <col min="7" max="7" width="9.6640625" style="27" customWidth="1"/>
    <col min="8" max="8" width="2.6640625" style="28" customWidth="1"/>
    <col min="9" max="9" width="6.6640625" style="29" customWidth="1"/>
    <col min="10" max="10" width="9.6640625" style="27" customWidth="1"/>
    <col min="11" max="11" width="2.5546875" style="27" hidden="1" customWidth="1"/>
    <col min="12" max="12" width="2.44140625" style="32" hidden="1" customWidth="1"/>
    <col min="13" max="13" width="0.77734375" style="13" customWidth="1"/>
    <col min="14" max="14" width="1.77734375" style="147" customWidth="1"/>
    <col min="15" max="26" width="8.77734375" style="13" customWidth="1"/>
    <col min="27" max="27" width="10.33203125" style="13" customWidth="1"/>
    <col min="28" max="28" width="8.33203125" style="13" customWidth="1"/>
    <col min="29" max="16384" width="9.77734375" style="13"/>
  </cols>
  <sheetData>
    <row r="1" spans="1:28" s="37" customFormat="1" ht="3" customHeight="1" thickBot="1">
      <c r="A1" s="36"/>
      <c r="B1" s="53" t="str">
        <f>+B48</f>
        <v>ü</v>
      </c>
      <c r="C1" s="54">
        <f>+C49</f>
        <v>0</v>
      </c>
      <c r="D1" s="54"/>
      <c r="E1" s="53">
        <f>+E49</f>
        <v>0</v>
      </c>
      <c r="F1" s="53"/>
      <c r="G1" s="54">
        <f>+G49</f>
        <v>0</v>
      </c>
      <c r="H1" s="53"/>
      <c r="I1" s="338" t="str">
        <f>+EÜR!J66</f>
        <v>-</v>
      </c>
      <c r="J1" s="54">
        <f>+J48</f>
        <v>0</v>
      </c>
      <c r="K1" s="198"/>
      <c r="L1" s="56"/>
      <c r="N1" s="190"/>
    </row>
    <row r="2" spans="1:28" ht="23.1" customHeight="1" thickTop="1" thickBot="1">
      <c r="A2" s="36"/>
      <c r="B2" s="294" t="str">
        <f>+EÜR!D11</f>
        <v>E04</v>
      </c>
      <c r="C2" s="1245" t="str">
        <f>+EÜR!F11</f>
        <v>private KFZ-Nutzung</v>
      </c>
      <c r="D2" s="1246"/>
      <c r="E2" s="1246"/>
      <c r="F2" s="1246"/>
      <c r="G2" s="1246"/>
      <c r="H2" s="1246"/>
      <c r="I2" s="1247"/>
      <c r="J2" s="1227" t="s">
        <v>8</v>
      </c>
      <c r="K2" s="1228"/>
      <c r="L2" s="1229"/>
      <c r="M2" s="134"/>
      <c r="N2" s="190">
        <f>IF(OR(B48="x",N3=1),0,1)</f>
        <v>1</v>
      </c>
      <c r="O2" s="188">
        <f>+EOMONTH(EÜR!$I$3,-1)+1</f>
        <v>46023</v>
      </c>
      <c r="P2" s="188">
        <f t="shared" ref="P2:Z2" si="0">+O3+1</f>
        <v>46054</v>
      </c>
      <c r="Q2" s="188">
        <f t="shared" si="0"/>
        <v>46082</v>
      </c>
      <c r="R2" s="188">
        <f t="shared" si="0"/>
        <v>46113</v>
      </c>
      <c r="S2" s="188">
        <f t="shared" si="0"/>
        <v>46143</v>
      </c>
      <c r="T2" s="188">
        <f t="shared" si="0"/>
        <v>46174</v>
      </c>
      <c r="U2" s="188">
        <f t="shared" si="0"/>
        <v>46204</v>
      </c>
      <c r="V2" s="188">
        <f t="shared" si="0"/>
        <v>46235</v>
      </c>
      <c r="W2" s="188">
        <f t="shared" si="0"/>
        <v>46266</v>
      </c>
      <c r="X2" s="188">
        <f t="shared" si="0"/>
        <v>46296</v>
      </c>
      <c r="Y2" s="188">
        <f t="shared" si="0"/>
        <v>46327</v>
      </c>
      <c r="Z2" s="188">
        <f t="shared" si="0"/>
        <v>46357</v>
      </c>
      <c r="AA2" s="48"/>
    </row>
    <row r="3" spans="1:28" ht="14.25" customHeight="1" thickTop="1">
      <c r="A3" s="36" t="s">
        <v>5</v>
      </c>
      <c r="B3" s="58" t="s">
        <v>1</v>
      </c>
      <c r="C3" s="59" t="s">
        <v>6</v>
      </c>
      <c r="D3" s="60"/>
      <c r="E3" s="310" t="s">
        <v>7</v>
      </c>
      <c r="F3" s="61" t="s">
        <v>4</v>
      </c>
      <c r="G3" s="62" t="s">
        <v>31</v>
      </c>
      <c r="H3" s="63" t="s">
        <v>33</v>
      </c>
      <c r="I3" s="64" t="s">
        <v>32</v>
      </c>
      <c r="J3" s="360" t="s">
        <v>143</v>
      </c>
      <c r="K3" s="199">
        <v>0</v>
      </c>
      <c r="L3" s="65" t="s">
        <v>5</v>
      </c>
      <c r="M3" s="135" t="s">
        <v>5</v>
      </c>
      <c r="N3" s="222">
        <f>IF(SUBTOTAL(109,K3:K47)&lt;&gt;SUM(K3:K47),1,0)</f>
        <v>0</v>
      </c>
      <c r="O3" s="189">
        <f>EOMONTH(O2,0)</f>
        <v>46053</v>
      </c>
      <c r="P3" s="189">
        <f t="shared" ref="P3:Z3" si="1">EOMONTH(P2,0)</f>
        <v>46081</v>
      </c>
      <c r="Q3" s="189">
        <f t="shared" si="1"/>
        <v>46112</v>
      </c>
      <c r="R3" s="189">
        <f t="shared" si="1"/>
        <v>46142</v>
      </c>
      <c r="S3" s="189">
        <f t="shared" si="1"/>
        <v>46173</v>
      </c>
      <c r="T3" s="189">
        <f t="shared" si="1"/>
        <v>46203</v>
      </c>
      <c r="U3" s="189">
        <f t="shared" si="1"/>
        <v>46234</v>
      </c>
      <c r="V3" s="189">
        <f t="shared" si="1"/>
        <v>46265</v>
      </c>
      <c r="W3" s="189">
        <f t="shared" si="1"/>
        <v>46295</v>
      </c>
      <c r="X3" s="189">
        <f t="shared" si="1"/>
        <v>46326</v>
      </c>
      <c r="Y3" s="189">
        <f t="shared" si="1"/>
        <v>46356</v>
      </c>
      <c r="Z3" s="189">
        <f t="shared" si="1"/>
        <v>46387</v>
      </c>
      <c r="AB3" s="14"/>
    </row>
    <row r="4" spans="1:28" ht="13.35" customHeight="1">
      <c r="A4" s="50" t="s">
        <v>5</v>
      </c>
      <c r="B4" s="141"/>
      <c r="C4" s="80"/>
      <c r="D4" s="93"/>
      <c r="E4" s="969"/>
      <c r="F4" s="385"/>
      <c r="G4" s="81"/>
      <c r="H4" s="82"/>
      <c r="I4" s="83" t="str">
        <f t="shared" ref="I4:I44" si="2">IF(G4&lt;&gt;"",+G4-G4/(1+H4/100),"")</f>
        <v/>
      </c>
      <c r="J4" s="282" t="str">
        <f t="shared" ref="J4:J44" si="3">IF(G4&lt;&gt;0,+G4-I4,"")</f>
        <v/>
      </c>
      <c r="K4" s="200">
        <v>1</v>
      </c>
      <c r="L4" s="133">
        <f>IF(OR(B4&lt;$O$2,H4=0),0,IF(B4&lt;$P$2,1,IF(B4&lt;$Q$2,2,IF(B4&lt;$R$2,3,IF(B4&lt;$S$2,4,IF(B4&lt;$T$2,5,IF(B4&lt;$U$2,6,IF(B4&lt;$V$2,7,IF(B4&lt;$W$2,8,IF(B4&lt;$X$2,9,IF(B4&lt;$Y$2,10,IF(B4&lt;$Z$2,11,IF(B4&lt;=$Z$3,12,0)))))))))))))</f>
        <v>0</v>
      </c>
      <c r="M4" s="135" t="s">
        <v>5</v>
      </c>
      <c r="N4" s="190">
        <f>+N10+AA12+AA16</f>
        <v>0</v>
      </c>
      <c r="O4" s="251" t="s">
        <v>36</v>
      </c>
      <c r="P4" s="251" t="s">
        <v>37</v>
      </c>
      <c r="Q4" s="251" t="s">
        <v>38</v>
      </c>
      <c r="R4" s="251" t="s">
        <v>39</v>
      </c>
      <c r="S4" s="251" t="s">
        <v>40</v>
      </c>
      <c r="T4" s="251" t="s">
        <v>41</v>
      </c>
      <c r="U4" s="251" t="s">
        <v>42</v>
      </c>
      <c r="V4" s="251" t="s">
        <v>43</v>
      </c>
      <c r="W4" s="251" t="s">
        <v>44</v>
      </c>
      <c r="X4" s="251" t="s">
        <v>45</v>
      </c>
      <c r="Y4" s="251" t="s">
        <v>46</v>
      </c>
      <c r="Z4" s="251" t="s">
        <v>47</v>
      </c>
      <c r="AA4" s="1209" t="s">
        <v>255</v>
      </c>
      <c r="AB4" s="1210"/>
    </row>
    <row r="5" spans="1:28" ht="13.35" customHeight="1">
      <c r="A5" s="50" t="s">
        <v>5</v>
      </c>
      <c r="B5" s="141"/>
      <c r="C5" s="80"/>
      <c r="D5" s="93"/>
      <c r="E5" s="969"/>
      <c r="F5" s="385"/>
      <c r="G5" s="81"/>
      <c r="H5" s="82"/>
      <c r="I5" s="83" t="str">
        <f t="shared" si="2"/>
        <v/>
      </c>
      <c r="J5" s="282" t="str">
        <f t="shared" si="3"/>
        <v/>
      </c>
      <c r="K5" s="200">
        <v>2</v>
      </c>
      <c r="L5" s="133">
        <f t="shared" ref="L5:L46" si="4">IF(OR(B5&lt;$O$2,H5=0),0,IF(B5&lt;$P$2,1,IF(B5&lt;$Q$2,2,IF(B5&lt;$R$2,3,IF(B5&lt;$S$2,4,IF(B5&lt;$T$2,5,IF(B5&lt;$U$2,6,IF(B5&lt;$V$2,7,IF(B5&lt;$W$2,8,IF(B5&lt;$X$2,9,IF(B5&lt;$Y$2,10,IF(B5&lt;$Z$2,11,IF(B5&lt;=$Z$3,12,0)))))))))))))</f>
        <v>0</v>
      </c>
      <c r="M5" s="135" t="s">
        <v>5</v>
      </c>
      <c r="O5" s="252">
        <f>SUMIFS($G$3:$G$47,$L$3:$L$47,1,$F$3:$F$47,"Konto")</f>
        <v>0</v>
      </c>
      <c r="P5" s="252">
        <f>SUMIFS($G$3:$G$47,$L$3:$L$47,2,$F$3:$F$47,"Konto")</f>
        <v>0</v>
      </c>
      <c r="Q5" s="252">
        <f>SUMIFS($G$3:$G$47,$L$3:$L$47,3,$F$3:$F$47,"Konto")</f>
        <v>0</v>
      </c>
      <c r="R5" s="252">
        <f>SUMIFS($G$3:$G$47,$L$3:$L$47,4,$F$3:$F$47,"Konto")</f>
        <v>0</v>
      </c>
      <c r="S5" s="252">
        <f>SUMIFS($G$3:$G$47,$L$3:$L$47,5,$F$3:$F$47,"Konto")</f>
        <v>0</v>
      </c>
      <c r="T5" s="252">
        <f>SUMIFS($G$3:$G$47,$L$3:$L$47,6,$F$3:$F$47,"Konto")</f>
        <v>0</v>
      </c>
      <c r="U5" s="252">
        <f>SUMIFS($G$3:$G$47,$L$3:$L$47,7,$F$3:$F$47,"Konto")</f>
        <v>0</v>
      </c>
      <c r="V5" s="252">
        <f>SUMIFS($G$3:$G$47,$L$3:$L$47,8,$F$3:$F$47,"Konto")</f>
        <v>0</v>
      </c>
      <c r="W5" s="252">
        <f>SUMIFS($G$3:$G$47,$L$3:$L$47,9,$F$3:$F$47,"Konto")</f>
        <v>0</v>
      </c>
      <c r="X5" s="252">
        <f>SUMIFS($G$3:$G$47,$L$3:$L$47,10,$F$3:$F$47,"Konto")</f>
        <v>0</v>
      </c>
      <c r="Y5" s="252">
        <f>SUMIFS($G$3:$G$47,$L$3:$L$47,11,$F$3:$F$47,"Konto")</f>
        <v>0</v>
      </c>
      <c r="Z5" s="252">
        <f>SUMIFS($G$3:$G$47,$L$3:$L$47,12,$F$3:$F$47,"Konto")</f>
        <v>0</v>
      </c>
      <c r="AA5" s="253">
        <f>SUM(O5:Z5)</f>
        <v>0</v>
      </c>
      <c r="AB5" s="254" t="s">
        <v>140</v>
      </c>
    </row>
    <row r="6" spans="1:28" ht="13.35" customHeight="1">
      <c r="A6" s="50" t="s">
        <v>5</v>
      </c>
      <c r="B6" s="141"/>
      <c r="C6" s="80"/>
      <c r="D6" s="93"/>
      <c r="E6" s="969"/>
      <c r="F6" s="385"/>
      <c r="G6" s="81"/>
      <c r="H6" s="82"/>
      <c r="I6" s="83" t="str">
        <f t="shared" si="2"/>
        <v/>
      </c>
      <c r="J6" s="282" t="str">
        <f t="shared" si="3"/>
        <v/>
      </c>
      <c r="K6" s="200">
        <v>3</v>
      </c>
      <c r="L6" s="133">
        <f t="shared" si="4"/>
        <v>0</v>
      </c>
      <c r="M6" s="135" t="s">
        <v>5</v>
      </c>
      <c r="N6" s="190"/>
      <c r="O6" s="252">
        <f>SUMIFS($G$3:$G$47,$L$3:$L$47,1,$F$3:$F$47,"Kreditkarte")</f>
        <v>0</v>
      </c>
      <c r="P6" s="252">
        <f>SUMIFS($G$3:$G$47,$L$3:$L$47,2,$F$3:$F$47,"Kreditkarte")</f>
        <v>0</v>
      </c>
      <c r="Q6" s="252">
        <f>SUMIFS($G$3:$G$47,$L$3:$L$47,3,$F$3:$F$47,"Kreditkarte")</f>
        <v>0</v>
      </c>
      <c r="R6" s="252">
        <f>SUMIFS($G$3:$G$47,$L$3:$L$47,4,$F$3:$F$47,"Kreditkarte")</f>
        <v>0</v>
      </c>
      <c r="S6" s="252">
        <f>SUMIFS($G$3:$G$47,$L$3:$L$47,5,$F$3:$F$47,"Kreditkarte")</f>
        <v>0</v>
      </c>
      <c r="T6" s="252">
        <f>SUMIFS($G$3:$G$47,$L$3:$L$47,6,$F$3:$F$47,"Kreditkarte")</f>
        <v>0</v>
      </c>
      <c r="U6" s="252">
        <f>SUMIFS($G$3:$G$47,$L$3:$L$47,7,$F$3:$F$47,"Kreditkarte")</f>
        <v>0</v>
      </c>
      <c r="V6" s="252">
        <f>SUMIFS($G$3:$G$47,$L$3:$L$47,8,$F$3:$F$47,"Kreditkarte")</f>
        <v>0</v>
      </c>
      <c r="W6" s="252">
        <f>SUMIFS($G$3:$G$47,$L$3:$L$47,9,$F$3:$F$47,"Kreditkarte")</f>
        <v>0</v>
      </c>
      <c r="X6" s="252">
        <f>SUMIFS($G$3:$G$47,$L$3:$L$47,10,$F$3:$F$47,"Kreditkarte")</f>
        <v>0</v>
      </c>
      <c r="Y6" s="252">
        <f>SUMIFS($G$3:$G$47,$L$3:$L$47,11,$F$3:$F$47,"Kreditkarte")</f>
        <v>0</v>
      </c>
      <c r="Z6" s="252">
        <f>SUMIFS($G$3:$G$47,$L$3:$L$47,12,$F$3:$F$47,"Kreditkarte")</f>
        <v>0</v>
      </c>
      <c r="AA6" s="255">
        <f t="shared" ref="AA6:AA8" si="5">SUM(O6:Z6)</f>
        <v>0</v>
      </c>
      <c r="AB6" s="256" t="s">
        <v>142</v>
      </c>
    </row>
    <row r="7" spans="1:28" ht="13.35" customHeight="1">
      <c r="A7" s="50" t="s">
        <v>5</v>
      </c>
      <c r="B7" s="141"/>
      <c r="C7" s="80"/>
      <c r="D7" s="93"/>
      <c r="E7" s="969"/>
      <c r="F7" s="385"/>
      <c r="G7" s="81"/>
      <c r="H7" s="82"/>
      <c r="I7" s="83" t="str">
        <f t="shared" si="2"/>
        <v/>
      </c>
      <c r="J7" s="282" t="str">
        <f t="shared" si="3"/>
        <v/>
      </c>
      <c r="K7" s="200">
        <v>4</v>
      </c>
      <c r="L7" s="133">
        <f t="shared" si="4"/>
        <v>0</v>
      </c>
      <c r="M7" s="135" t="s">
        <v>5</v>
      </c>
      <c r="O7" s="252">
        <f>SUMIFS($G$3:$G$47,$L$3:$L$47,1,$F$3:$F$47,"Geldbeutel")</f>
        <v>0</v>
      </c>
      <c r="P7" s="252">
        <f>SUMIFS($G$3:$G$47,$L$3:$L$47,2,$F$3:$F$47,"Geldbeutel")</f>
        <v>0</v>
      </c>
      <c r="Q7" s="252">
        <f>SUMIFS($G$3:$G$47,$L$3:$L$47,3,$F$3:$F$47,"Geldbeutel")</f>
        <v>0</v>
      </c>
      <c r="R7" s="252">
        <f>SUMIFS($G$3:$G$47,$L$3:$L$47,4,$F$3:$F$47,"Geldbeutel")</f>
        <v>0</v>
      </c>
      <c r="S7" s="252">
        <f>SUMIFS($G$3:$G$47,$L$3:$L$47,5,$F$3:$F$47,"Geldbeutel")</f>
        <v>0</v>
      </c>
      <c r="T7" s="252">
        <f>SUMIFS($G$3:$G$47,$L$3:$L$47,6,$F$3:$F$47,"Geldbeutel")</f>
        <v>0</v>
      </c>
      <c r="U7" s="252">
        <f>SUMIFS($G$3:$G$47,$L$3:$L$47,7,$F$3:$F$47,"Geldbeutel")</f>
        <v>0</v>
      </c>
      <c r="V7" s="252">
        <f>SUMIFS($G$3:$G$47,$L$3:$L$47,8,$F$3:$F$47,"Geldbeutel")</f>
        <v>0</v>
      </c>
      <c r="W7" s="252">
        <f>SUMIFS($G$3:$G$47,$L$3:$L$47,9,$F$3:$F$47,"Geldbeutel")</f>
        <v>0</v>
      </c>
      <c r="X7" s="252">
        <f>SUMIFS($G$3:$G$47,$L$3:$L$47,10,$F$3:$F$47,"Geldbeutel")</f>
        <v>0</v>
      </c>
      <c r="Y7" s="252">
        <f>SUMIFS($G$3:$G$47,$L$3:$L$47,11,$F$3:$F$47,"Geldbeutel")</f>
        <v>0</v>
      </c>
      <c r="Z7" s="252">
        <f>SUMIFS($G$3:$G$47,$L$3:$L$47,12,$F$3:$F$47,"Geldbeutel")</f>
        <v>0</v>
      </c>
      <c r="AA7" s="253">
        <f t="shared" si="5"/>
        <v>0</v>
      </c>
      <c r="AB7" s="254" t="s">
        <v>139</v>
      </c>
    </row>
    <row r="8" spans="1:28" ht="13.35" customHeight="1">
      <c r="A8" s="50" t="s">
        <v>5</v>
      </c>
      <c r="B8" s="141"/>
      <c r="C8" s="80"/>
      <c r="D8" s="93"/>
      <c r="E8" s="969"/>
      <c r="F8" s="385"/>
      <c r="G8" s="81"/>
      <c r="H8" s="82"/>
      <c r="I8" s="83" t="str">
        <f t="shared" si="2"/>
        <v/>
      </c>
      <c r="J8" s="282" t="str">
        <f t="shared" si="3"/>
        <v/>
      </c>
      <c r="K8" s="200">
        <v>5</v>
      </c>
      <c r="L8" s="133">
        <f t="shared" si="4"/>
        <v>0</v>
      </c>
      <c r="M8" s="135" t="s">
        <v>5</v>
      </c>
      <c r="O8" s="252">
        <f>SUMIFS($G$3:$G$47,$L$3:$L$47,1,$F$3:$F$47,"X")</f>
        <v>0</v>
      </c>
      <c r="P8" s="252">
        <f>SUMIFS($G$3:$G$47,$L$3:$L$47,2,$F$3:$F$47,"X")</f>
        <v>0</v>
      </c>
      <c r="Q8" s="252">
        <f>SUMIFS($G$3:$G$47,$L$3:$L$47,3,$F$3:$F$47,"X")</f>
        <v>0</v>
      </c>
      <c r="R8" s="252">
        <f>SUMIFS($G$3:$G$47,$L$3:$L$47,4,$F$3:$F$47,"X")</f>
        <v>0</v>
      </c>
      <c r="S8" s="252">
        <f>SUMIFS($G$3:$G$47,$L$3:$L$47,5,$F$3:$F$47,"X")</f>
        <v>0</v>
      </c>
      <c r="T8" s="252">
        <f>SUMIFS($G$3:$G$47,$L$3:$L$47,6,$F$3:$F$47,"X")</f>
        <v>0</v>
      </c>
      <c r="U8" s="252">
        <f>SUMIFS($G$3:$G$47,$L$3:$L$47,7,$F$3:$F$47,"X")</f>
        <v>0</v>
      </c>
      <c r="V8" s="252">
        <f>SUMIFS($G$3:$G$47,$L$3:$L$47,8,$F$3:$F$47,"X")</f>
        <v>0</v>
      </c>
      <c r="W8" s="252">
        <f>SUMIFS($G$3:$G$47,$L$3:$L$47,9,$F$3:$F$47,"X")</f>
        <v>0</v>
      </c>
      <c r="X8" s="252">
        <f>SUMIFS($G$3:$G$47,$L$3:$L$47,10,$F$3:$F$47,"X")</f>
        <v>0</v>
      </c>
      <c r="Y8" s="252">
        <f>SUMIFS($G$3:$G$47,$L$3:$L$47,11,$F$3:$F$47,"X")</f>
        <v>0</v>
      </c>
      <c r="Z8" s="252">
        <f>SUMIFS($G$3:$G$47,$L$3:$L$47,12,$F$3:$F$47,"X")</f>
        <v>0</v>
      </c>
      <c r="AA8" s="255">
        <f t="shared" si="5"/>
        <v>0</v>
      </c>
      <c r="AB8" s="256" t="s">
        <v>192</v>
      </c>
    </row>
    <row r="9" spans="1:28" ht="13.35" customHeight="1">
      <c r="A9" s="50" t="s">
        <v>5</v>
      </c>
      <c r="B9" s="141"/>
      <c r="C9" s="80"/>
      <c r="D9" s="93"/>
      <c r="E9" s="969"/>
      <c r="F9" s="385"/>
      <c r="G9" s="81"/>
      <c r="H9" s="82"/>
      <c r="I9" s="83" t="str">
        <f t="shared" si="2"/>
        <v/>
      </c>
      <c r="J9" s="282" t="str">
        <f t="shared" si="3"/>
        <v/>
      </c>
      <c r="K9" s="200">
        <v>6</v>
      </c>
      <c r="L9" s="133">
        <f t="shared" si="4"/>
        <v>0</v>
      </c>
      <c r="M9" s="135" t="s">
        <v>5</v>
      </c>
      <c r="N9" s="191">
        <f>IF(OR(AND(AA14&lt;&gt;0,B48="x"),(O14+AA13)&lt;&gt;H48),1,0)</f>
        <v>0</v>
      </c>
      <c r="O9" s="257">
        <f>SUM(O5:O8)</f>
        <v>0</v>
      </c>
      <c r="P9" s="257">
        <f t="shared" ref="P9:Z9" si="6">SUM(P5:P8)</f>
        <v>0</v>
      </c>
      <c r="Q9" s="257">
        <f t="shared" si="6"/>
        <v>0</v>
      </c>
      <c r="R9" s="257">
        <f t="shared" si="6"/>
        <v>0</v>
      </c>
      <c r="S9" s="257">
        <f t="shared" si="6"/>
        <v>0</v>
      </c>
      <c r="T9" s="257">
        <f t="shared" si="6"/>
        <v>0</v>
      </c>
      <c r="U9" s="257">
        <f t="shared" si="6"/>
        <v>0</v>
      </c>
      <c r="V9" s="257">
        <f t="shared" si="6"/>
        <v>0</v>
      </c>
      <c r="W9" s="257">
        <f t="shared" si="6"/>
        <v>0</v>
      </c>
      <c r="X9" s="257">
        <f t="shared" si="6"/>
        <v>0</v>
      </c>
      <c r="Y9" s="257">
        <f t="shared" si="6"/>
        <v>0</v>
      </c>
      <c r="Z9" s="257">
        <f t="shared" si="6"/>
        <v>0</v>
      </c>
      <c r="AA9" s="1211" t="s">
        <v>197</v>
      </c>
      <c r="AB9" s="1212"/>
    </row>
    <row r="10" spans="1:28" ht="13.35" customHeight="1">
      <c r="A10" s="50" t="s">
        <v>5</v>
      </c>
      <c r="B10" s="141"/>
      <c r="C10" s="80"/>
      <c r="D10" s="93"/>
      <c r="E10" s="969"/>
      <c r="F10" s="385"/>
      <c r="G10" s="81"/>
      <c r="H10" s="82"/>
      <c r="I10" s="83" t="str">
        <f t="shared" si="2"/>
        <v/>
      </c>
      <c r="J10" s="282" t="str">
        <f t="shared" si="3"/>
        <v/>
      </c>
      <c r="K10" s="200">
        <v>7</v>
      </c>
      <c r="L10" s="133">
        <f t="shared" si="4"/>
        <v>0</v>
      </c>
      <c r="M10" s="135" t="s">
        <v>5</v>
      </c>
      <c r="N10" s="259">
        <f>IF(O10+AA10&lt;&gt;G48,1,0)</f>
        <v>0</v>
      </c>
      <c r="O10" s="1230">
        <f>SUM(O5:Z8)</f>
        <v>0</v>
      </c>
      <c r="P10" s="1231"/>
      <c r="Q10" s="1231"/>
      <c r="R10" s="1231"/>
      <c r="S10" s="1231"/>
      <c r="T10" s="1231"/>
      <c r="U10" s="1231"/>
      <c r="V10" s="1231"/>
      <c r="W10" s="1231"/>
      <c r="X10" s="1231"/>
      <c r="Y10" s="1231"/>
      <c r="Z10" s="1232"/>
      <c r="AA10" s="292">
        <f>+G48-AA7-AA6-AA5-AA8</f>
        <v>0</v>
      </c>
      <c r="AB10" s="293" t="s">
        <v>205</v>
      </c>
    </row>
    <row r="11" spans="1:28" ht="13.35" customHeight="1">
      <c r="A11" s="50" t="s">
        <v>5</v>
      </c>
      <c r="B11" s="141"/>
      <c r="C11" s="80"/>
      <c r="D11" s="93"/>
      <c r="E11" s="969"/>
      <c r="F11" s="385"/>
      <c r="G11" s="81"/>
      <c r="H11" s="82"/>
      <c r="I11" s="83" t="str">
        <f t="shared" si="2"/>
        <v/>
      </c>
      <c r="J11" s="282" t="str">
        <f t="shared" si="3"/>
        <v/>
      </c>
      <c r="K11" s="200">
        <v>8</v>
      </c>
      <c r="L11" s="133">
        <f t="shared" si="4"/>
        <v>0</v>
      </c>
      <c r="M11" s="135" t="s">
        <v>5</v>
      </c>
      <c r="O11" s="1219" t="str">
        <f>IF(N4&gt;0,"Fehler!","")</f>
        <v/>
      </c>
      <c r="P11" s="1219"/>
      <c r="Q11" s="1219"/>
      <c r="R11" s="1219"/>
      <c r="S11" s="1219"/>
      <c r="T11" s="1219"/>
      <c r="U11" s="1219"/>
      <c r="V11" s="1219"/>
      <c r="W11" s="1219"/>
      <c r="X11" s="1219"/>
      <c r="Y11" s="1219"/>
      <c r="Z11" s="1219"/>
    </row>
    <row r="12" spans="1:28" ht="13.35" customHeight="1">
      <c r="A12" s="50" t="s">
        <v>5</v>
      </c>
      <c r="B12" s="141"/>
      <c r="C12" s="80"/>
      <c r="D12" s="93"/>
      <c r="E12" s="969"/>
      <c r="F12" s="385"/>
      <c r="G12" s="81"/>
      <c r="H12" s="82"/>
      <c r="I12" s="83" t="str">
        <f t="shared" si="2"/>
        <v/>
      </c>
      <c r="J12" s="282" t="str">
        <f t="shared" si="3"/>
        <v/>
      </c>
      <c r="K12" s="200">
        <v>9</v>
      </c>
      <c r="L12" s="133">
        <f t="shared" si="4"/>
        <v>0</v>
      </c>
      <c r="M12" s="135" t="s">
        <v>5</v>
      </c>
      <c r="O12" s="203" t="s">
        <v>36</v>
      </c>
      <c r="P12" s="203" t="s">
        <v>37</v>
      </c>
      <c r="Q12" s="203" t="s">
        <v>38</v>
      </c>
      <c r="R12" s="203" t="s">
        <v>39</v>
      </c>
      <c r="S12" s="203" t="s">
        <v>40</v>
      </c>
      <c r="T12" s="203" t="s">
        <v>41</v>
      </c>
      <c r="U12" s="203" t="s">
        <v>42</v>
      </c>
      <c r="V12" s="203" t="s">
        <v>43</v>
      </c>
      <c r="W12" s="203" t="s">
        <v>44</v>
      </c>
      <c r="X12" s="203" t="s">
        <v>45</v>
      </c>
      <c r="Y12" s="203" t="s">
        <v>46</v>
      </c>
      <c r="Z12" s="203" t="s">
        <v>47</v>
      </c>
      <c r="AA12" s="221">
        <f>IF(O14+AA13&lt;&gt;H48,1,0)</f>
        <v>0</v>
      </c>
    </row>
    <row r="13" spans="1:28" ht="13.35" customHeight="1">
      <c r="A13" s="50" t="s">
        <v>5</v>
      </c>
      <c r="B13" s="141"/>
      <c r="C13" s="80"/>
      <c r="D13" s="93"/>
      <c r="E13" s="969"/>
      <c r="F13" s="385"/>
      <c r="G13" s="81"/>
      <c r="H13" s="82"/>
      <c r="I13" s="83" t="str">
        <f t="shared" si="2"/>
        <v/>
      </c>
      <c r="J13" s="282" t="str">
        <f t="shared" si="3"/>
        <v/>
      </c>
      <c r="K13" s="200">
        <v>10</v>
      </c>
      <c r="L13" s="133">
        <f t="shared" si="4"/>
        <v>0</v>
      </c>
      <c r="M13" s="135" t="s">
        <v>5</v>
      </c>
      <c r="O13" s="187">
        <f>SUMIF($L$3:$L$47,1,$I$3:$I$47)</f>
        <v>0</v>
      </c>
      <c r="P13" s="187">
        <f>SUMIF($L$3:$L$47,2,$I$3:$I$47)</f>
        <v>0</v>
      </c>
      <c r="Q13" s="187">
        <f>SUMIF($L$3:$L$47,3,$I$3:$I$47)</f>
        <v>0</v>
      </c>
      <c r="R13" s="187">
        <f>SUMIF($L$3:$L$47,4,$I$3:$I$47)</f>
        <v>0</v>
      </c>
      <c r="S13" s="187">
        <f>SUMIF($L$3:$L$47,5,$I$3:$I$47)</f>
        <v>0</v>
      </c>
      <c r="T13" s="187">
        <f>SUMIF($L$3:$L$47,6,$I$3:$I$47)</f>
        <v>0</v>
      </c>
      <c r="U13" s="187">
        <f>SUMIF($L$3:$L$47,7,$I$3:$I$47)</f>
        <v>0</v>
      </c>
      <c r="V13" s="187">
        <f>SUMIF($L$3:$L$47,8,$I$3:$I$47)</f>
        <v>0</v>
      </c>
      <c r="W13" s="187">
        <f>SUMIF($L$3:$L$47,9,$I$3:$I$47)</f>
        <v>0</v>
      </c>
      <c r="X13" s="187">
        <f>SUMIF($L$3:$L$47,10,$I$3:$I$47)</f>
        <v>0</v>
      </c>
      <c r="Y13" s="187">
        <f>SUMIF($L$3:$L$47,11,$I$3:$I$47)</f>
        <v>0</v>
      </c>
      <c r="Z13" s="187">
        <f>SUMIF($L$3:$L$47,12,$I$3:$I$47)</f>
        <v>0</v>
      </c>
      <c r="AA13" s="1220">
        <f>SUMIF($L$3:$L$47,0,$I$3:$I$47)</f>
        <v>0</v>
      </c>
      <c r="AB13" s="1221"/>
    </row>
    <row r="14" spans="1:28" ht="13.35" customHeight="1">
      <c r="A14" s="50" t="s">
        <v>5</v>
      </c>
      <c r="B14" s="141"/>
      <c r="C14" s="80"/>
      <c r="D14" s="93"/>
      <c r="E14" s="969"/>
      <c r="F14" s="385"/>
      <c r="G14" s="81"/>
      <c r="H14" s="82"/>
      <c r="I14" s="83" t="str">
        <f t="shared" si="2"/>
        <v/>
      </c>
      <c r="J14" s="282" t="str">
        <f t="shared" si="3"/>
        <v/>
      </c>
      <c r="K14" s="200">
        <v>11</v>
      </c>
      <c r="L14" s="133">
        <f t="shared" si="4"/>
        <v>0</v>
      </c>
      <c r="M14" s="135" t="s">
        <v>5</v>
      </c>
      <c r="O14" s="1213">
        <f>SUM(O13:Z13)</f>
        <v>0</v>
      </c>
      <c r="P14" s="1214"/>
      <c r="Q14" s="1214"/>
      <c r="R14" s="1214"/>
      <c r="S14" s="1214"/>
      <c r="T14" s="1214"/>
      <c r="U14" s="1214"/>
      <c r="V14" s="1214"/>
      <c r="W14" s="1214"/>
      <c r="X14" s="1214"/>
      <c r="Y14" s="1214"/>
      <c r="Z14" s="1215"/>
      <c r="AA14" s="1222">
        <f>SUM(O13:Z13)+AA13</f>
        <v>0</v>
      </c>
      <c r="AB14" s="1223"/>
    </row>
    <row r="15" spans="1:28" ht="13.35" customHeight="1">
      <c r="A15" s="50" t="s">
        <v>5</v>
      </c>
      <c r="B15" s="141"/>
      <c r="C15" s="260"/>
      <c r="D15" s="93"/>
      <c r="E15" s="969"/>
      <c r="F15" s="385"/>
      <c r="G15" s="81"/>
      <c r="H15" s="82"/>
      <c r="I15" s="83" t="str">
        <f t="shared" si="2"/>
        <v/>
      </c>
      <c r="J15" s="282" t="str">
        <f t="shared" si="3"/>
        <v/>
      </c>
      <c r="K15" s="200">
        <v>12</v>
      </c>
      <c r="L15" s="133">
        <f t="shared" si="4"/>
        <v>0</v>
      </c>
      <c r="M15" s="135" t="s">
        <v>5</v>
      </c>
    </row>
    <row r="16" spans="1:28" ht="13.35" customHeight="1">
      <c r="A16" s="50" t="s">
        <v>5</v>
      </c>
      <c r="B16" s="141"/>
      <c r="C16" s="80"/>
      <c r="D16" s="93"/>
      <c r="E16" s="969"/>
      <c r="F16" s="385"/>
      <c r="G16" s="81"/>
      <c r="H16" s="82"/>
      <c r="I16" s="83" t="str">
        <f t="shared" si="2"/>
        <v/>
      </c>
      <c r="J16" s="282" t="str">
        <f t="shared" si="3"/>
        <v/>
      </c>
      <c r="K16" s="200">
        <v>13</v>
      </c>
      <c r="L16" s="133">
        <f t="shared" si="4"/>
        <v>0</v>
      </c>
      <c r="M16" s="135" t="s">
        <v>5</v>
      </c>
      <c r="O16" s="204" t="s">
        <v>36</v>
      </c>
      <c r="P16" s="204" t="s">
        <v>37</v>
      </c>
      <c r="Q16" s="204" t="s">
        <v>38</v>
      </c>
      <c r="R16" s="204" t="s">
        <v>39</v>
      </c>
      <c r="S16" s="204" t="s">
        <v>40</v>
      </c>
      <c r="T16" s="204" t="s">
        <v>41</v>
      </c>
      <c r="U16" s="204" t="s">
        <v>42</v>
      </c>
      <c r="V16" s="204" t="s">
        <v>43</v>
      </c>
      <c r="W16" s="204" t="s">
        <v>44</v>
      </c>
      <c r="X16" s="204" t="s">
        <v>45</v>
      </c>
      <c r="Y16" s="204" t="s">
        <v>46</v>
      </c>
      <c r="Z16" s="204" t="s">
        <v>47</v>
      </c>
      <c r="AA16" s="220">
        <f>IF(O18+AA17&lt;&gt;J48,1,0)</f>
        <v>0</v>
      </c>
    </row>
    <row r="17" spans="1:28" ht="13.35" customHeight="1" thickBot="1">
      <c r="A17" s="50" t="s">
        <v>5</v>
      </c>
      <c r="B17" s="141"/>
      <c r="C17" s="80"/>
      <c r="D17" s="93"/>
      <c r="E17" s="969"/>
      <c r="F17" s="385"/>
      <c r="G17" s="81"/>
      <c r="H17" s="82"/>
      <c r="I17" s="83" t="str">
        <f t="shared" si="2"/>
        <v/>
      </c>
      <c r="J17" s="282" t="str">
        <f t="shared" si="3"/>
        <v/>
      </c>
      <c r="K17" s="200">
        <v>14</v>
      </c>
      <c r="L17" s="133">
        <f t="shared" si="4"/>
        <v>0</v>
      </c>
      <c r="M17" s="135" t="s">
        <v>5</v>
      </c>
      <c r="O17" s="202">
        <f>SUMIF($L$3:$L$47,1,$J$3:$J$47)</f>
        <v>0</v>
      </c>
      <c r="P17" s="202">
        <f>SUMIF($L$3:$L$47,2,$J$3:$J$47)</f>
        <v>0</v>
      </c>
      <c r="Q17" s="202">
        <f>SUMIF($L$3:$L$47,3,$J$3:$J$47)</f>
        <v>0</v>
      </c>
      <c r="R17" s="202">
        <f>SUMIF($L$3:$L$47,4,$J$3:$J$47)</f>
        <v>0</v>
      </c>
      <c r="S17" s="202">
        <f>SUMIF($L$3:$L$47,5,$J$3:$J$47)</f>
        <v>0</v>
      </c>
      <c r="T17" s="202">
        <f>SUMIF($L$3:$L$47,6,$J$3:$J$47)</f>
        <v>0</v>
      </c>
      <c r="U17" s="202">
        <f>SUMIF($L$3:$L$47,7,$J$3:$J$47)</f>
        <v>0</v>
      </c>
      <c r="V17" s="202">
        <f>SUMIF($L$3:$L$47,8,$J$3:$J$47)</f>
        <v>0</v>
      </c>
      <c r="W17" s="202">
        <f>SUMIF($L$3:$L$47,9,$J$3:$J$47)</f>
        <v>0</v>
      </c>
      <c r="X17" s="202">
        <f>SUMIF($L$3:$L$47,10,$J$3:$J$47)</f>
        <v>0</v>
      </c>
      <c r="Y17" s="202">
        <f>SUMIF($L$3:$L$47,11,$J$3:$J$47)</f>
        <v>0</v>
      </c>
      <c r="Z17" s="202">
        <f>SUMIF($L$3:$L$47,12,$J$3:$J$47)</f>
        <v>0</v>
      </c>
      <c r="AA17" s="1220">
        <f>SUMIF($L$3:$L$47,0,$J$3:$J$47)</f>
        <v>0</v>
      </c>
      <c r="AB17" s="1221"/>
    </row>
    <row r="18" spans="1:28" ht="13.35" customHeight="1">
      <c r="A18" s="50" t="s">
        <v>5</v>
      </c>
      <c r="B18" s="141"/>
      <c r="C18" s="80"/>
      <c r="D18" s="93"/>
      <c r="E18" s="969"/>
      <c r="F18" s="385"/>
      <c r="G18" s="81"/>
      <c r="H18" s="82"/>
      <c r="I18" s="83" t="str">
        <f t="shared" si="2"/>
        <v/>
      </c>
      <c r="J18" s="282" t="str">
        <f t="shared" si="3"/>
        <v/>
      </c>
      <c r="K18" s="200">
        <v>15</v>
      </c>
      <c r="L18" s="133">
        <f t="shared" si="4"/>
        <v>0</v>
      </c>
      <c r="M18" s="135" t="s">
        <v>5</v>
      </c>
      <c r="O18" s="1216">
        <f>SUM(O17:Z17)</f>
        <v>0</v>
      </c>
      <c r="P18" s="1217"/>
      <c r="Q18" s="1217"/>
      <c r="R18" s="1217"/>
      <c r="S18" s="1217"/>
      <c r="T18" s="1217"/>
      <c r="U18" s="1217"/>
      <c r="V18" s="1217"/>
      <c r="W18" s="1217"/>
      <c r="X18" s="1217"/>
      <c r="Y18" s="1217"/>
      <c r="Z18" s="1218"/>
      <c r="AA18" s="1222">
        <f>SUM(O17:Z17)+AA17</f>
        <v>0</v>
      </c>
      <c r="AB18" s="1223"/>
    </row>
    <row r="19" spans="1:28" ht="13.35" customHeight="1">
      <c r="A19" s="50" t="s">
        <v>5</v>
      </c>
      <c r="B19" s="141"/>
      <c r="C19" s="80"/>
      <c r="D19" s="93"/>
      <c r="E19" s="969"/>
      <c r="F19" s="385"/>
      <c r="G19" s="81"/>
      <c r="H19" s="82"/>
      <c r="I19" s="83" t="str">
        <f t="shared" si="2"/>
        <v/>
      </c>
      <c r="J19" s="282" t="str">
        <f t="shared" si="3"/>
        <v/>
      </c>
      <c r="K19" s="200">
        <v>16</v>
      </c>
      <c r="L19" s="133">
        <f t="shared" si="4"/>
        <v>0</v>
      </c>
      <c r="M19" s="135" t="s">
        <v>5</v>
      </c>
      <c r="O19" s="1249"/>
      <c r="P19" s="1249"/>
      <c r="Q19" s="1249"/>
      <c r="R19" s="1249"/>
      <c r="S19" s="1249"/>
      <c r="T19" s="1249"/>
      <c r="U19" s="1249"/>
      <c r="V19" s="1249"/>
      <c r="W19" s="1249"/>
      <c r="X19" s="1249"/>
      <c r="Y19" s="1249"/>
      <c r="Z19" s="1249"/>
    </row>
    <row r="20" spans="1:28" ht="13.35" customHeight="1">
      <c r="A20" s="50" t="s">
        <v>5</v>
      </c>
      <c r="B20" s="141"/>
      <c r="C20" s="80"/>
      <c r="D20" s="93"/>
      <c r="E20" s="969"/>
      <c r="F20" s="385"/>
      <c r="G20" s="81"/>
      <c r="H20" s="82"/>
      <c r="I20" s="83" t="str">
        <f t="shared" si="2"/>
        <v/>
      </c>
      <c r="J20" s="282" t="str">
        <f t="shared" si="3"/>
        <v/>
      </c>
      <c r="K20" s="200">
        <v>17</v>
      </c>
      <c r="L20" s="133">
        <f t="shared" si="4"/>
        <v>0</v>
      </c>
      <c r="M20" s="135" t="s">
        <v>5</v>
      </c>
      <c r="O20" s="1250" t="s">
        <v>406</v>
      </c>
      <c r="P20" s="1251"/>
      <c r="Q20" s="1251"/>
      <c r="R20" s="1251"/>
      <c r="S20" s="1251"/>
      <c r="T20" s="1251"/>
      <c r="U20" s="1251"/>
      <c r="V20" s="1251"/>
      <c r="W20" s="1251"/>
      <c r="X20" s="1251"/>
      <c r="Y20" s="1251"/>
      <c r="Z20" s="1252"/>
    </row>
    <row r="21" spans="1:28" ht="13.35" customHeight="1">
      <c r="A21" s="50" t="s">
        <v>5</v>
      </c>
      <c r="B21" s="141"/>
      <c r="C21" s="80"/>
      <c r="D21" s="93"/>
      <c r="E21" s="969"/>
      <c r="F21" s="385"/>
      <c r="G21" s="81"/>
      <c r="H21" s="82"/>
      <c r="I21" s="83" t="str">
        <f t="shared" si="2"/>
        <v/>
      </c>
      <c r="J21" s="282" t="str">
        <f t="shared" si="3"/>
        <v/>
      </c>
      <c r="K21" s="200">
        <v>18</v>
      </c>
      <c r="L21" s="133">
        <f t="shared" si="4"/>
        <v>0</v>
      </c>
      <c r="M21" s="135" t="s">
        <v>5</v>
      </c>
    </row>
    <row r="22" spans="1:28" ht="13.35" customHeight="1">
      <c r="A22" s="50" t="s">
        <v>5</v>
      </c>
      <c r="B22" s="141"/>
      <c r="C22" s="80"/>
      <c r="D22" s="93"/>
      <c r="E22" s="969"/>
      <c r="F22" s="385"/>
      <c r="G22" s="81"/>
      <c r="H22" s="82"/>
      <c r="I22" s="83" t="str">
        <f t="shared" si="2"/>
        <v/>
      </c>
      <c r="J22" s="282" t="str">
        <f t="shared" si="3"/>
        <v/>
      </c>
      <c r="K22" s="200">
        <v>19</v>
      </c>
      <c r="L22" s="133">
        <f t="shared" si="4"/>
        <v>0</v>
      </c>
      <c r="M22" s="135" t="s">
        <v>5</v>
      </c>
    </row>
    <row r="23" spans="1:28" ht="13.35" customHeight="1">
      <c r="A23" s="50" t="s">
        <v>5</v>
      </c>
      <c r="B23" s="141"/>
      <c r="C23" s="80"/>
      <c r="D23" s="94"/>
      <c r="E23" s="969"/>
      <c r="F23" s="385"/>
      <c r="G23" s="81"/>
      <c r="H23" s="82"/>
      <c r="I23" s="83" t="str">
        <f t="shared" si="2"/>
        <v/>
      </c>
      <c r="J23" s="282" t="str">
        <f t="shared" si="3"/>
        <v/>
      </c>
      <c r="K23" s="200">
        <v>20</v>
      </c>
      <c r="L23" s="133">
        <f t="shared" si="4"/>
        <v>0</v>
      </c>
      <c r="M23" s="135" t="s">
        <v>5</v>
      </c>
    </row>
    <row r="24" spans="1:28" ht="13.35" customHeight="1">
      <c r="A24" s="50" t="s">
        <v>5</v>
      </c>
      <c r="B24" s="141"/>
      <c r="C24" s="80"/>
      <c r="D24" s="93"/>
      <c r="E24" s="969"/>
      <c r="F24" s="385"/>
      <c r="G24" s="81"/>
      <c r="H24" s="82"/>
      <c r="I24" s="83" t="str">
        <f t="shared" si="2"/>
        <v/>
      </c>
      <c r="J24" s="282" t="str">
        <f t="shared" si="3"/>
        <v/>
      </c>
      <c r="K24" s="200">
        <v>21</v>
      </c>
      <c r="L24" s="133">
        <f t="shared" si="4"/>
        <v>0</v>
      </c>
      <c r="M24" s="135" t="s">
        <v>5</v>
      </c>
      <c r="O24" s="147"/>
      <c r="P24" s="147"/>
      <c r="Q24" s="147"/>
      <c r="R24" s="147"/>
      <c r="S24" s="147"/>
      <c r="T24" s="147"/>
      <c r="U24" s="147"/>
      <c r="V24" s="147"/>
      <c r="W24" s="147"/>
      <c r="X24" s="147"/>
      <c r="Y24" s="147"/>
      <c r="Z24" s="147"/>
      <c r="AA24" s="147"/>
    </row>
    <row r="25" spans="1:28" ht="13.35" customHeight="1">
      <c r="A25" s="50" t="s">
        <v>5</v>
      </c>
      <c r="B25" s="141"/>
      <c r="C25" s="80"/>
      <c r="D25" s="93"/>
      <c r="E25" s="969"/>
      <c r="F25" s="385"/>
      <c r="G25" s="81"/>
      <c r="H25" s="82"/>
      <c r="I25" s="83" t="str">
        <f t="shared" si="2"/>
        <v/>
      </c>
      <c r="J25" s="282" t="str">
        <f t="shared" si="3"/>
        <v/>
      </c>
      <c r="K25" s="200">
        <v>22</v>
      </c>
      <c r="L25" s="133">
        <f t="shared" si="4"/>
        <v>0</v>
      </c>
      <c r="M25" s="135" t="s">
        <v>5</v>
      </c>
      <c r="O25" s="147"/>
      <c r="P25" s="147"/>
      <c r="Q25" s="147"/>
      <c r="R25" s="147"/>
      <c r="S25" s="147"/>
      <c r="T25" s="147"/>
      <c r="U25" s="147"/>
      <c r="V25" s="147"/>
      <c r="W25" s="147"/>
      <c r="X25" s="147"/>
      <c r="Y25" s="147"/>
      <c r="Z25" s="147"/>
      <c r="AA25" s="147"/>
    </row>
    <row r="26" spans="1:28" ht="13.35" customHeight="1">
      <c r="A26" s="50" t="s">
        <v>5</v>
      </c>
      <c r="B26" s="141"/>
      <c r="C26" s="80"/>
      <c r="D26" s="93"/>
      <c r="E26" s="969"/>
      <c r="F26" s="385"/>
      <c r="G26" s="81"/>
      <c r="H26" s="82"/>
      <c r="I26" s="83" t="str">
        <f t="shared" si="2"/>
        <v/>
      </c>
      <c r="J26" s="282" t="str">
        <f t="shared" si="3"/>
        <v/>
      </c>
      <c r="K26" s="200">
        <v>23</v>
      </c>
      <c r="L26" s="133">
        <f t="shared" si="4"/>
        <v>0</v>
      </c>
      <c r="M26" s="135" t="s">
        <v>5</v>
      </c>
      <c r="O26" s="147"/>
      <c r="P26" s="147"/>
      <c r="Q26" s="147"/>
      <c r="R26" s="147"/>
      <c r="S26" s="147"/>
      <c r="T26" s="147"/>
      <c r="U26" s="147"/>
      <c r="V26" s="147"/>
      <c r="W26" s="147"/>
      <c r="X26" s="147"/>
      <c r="Y26" s="147"/>
      <c r="Z26" s="147"/>
      <c r="AA26" s="147"/>
    </row>
    <row r="27" spans="1:28" ht="13.35" customHeight="1">
      <c r="A27" s="50" t="s">
        <v>5</v>
      </c>
      <c r="B27" s="141"/>
      <c r="C27" s="80"/>
      <c r="D27" s="93"/>
      <c r="E27" s="969"/>
      <c r="F27" s="385"/>
      <c r="G27" s="81"/>
      <c r="H27" s="82"/>
      <c r="I27" s="83" t="str">
        <f t="shared" si="2"/>
        <v/>
      </c>
      <c r="J27" s="282" t="str">
        <f t="shared" si="3"/>
        <v/>
      </c>
      <c r="K27" s="200">
        <v>24</v>
      </c>
      <c r="L27" s="133">
        <f t="shared" si="4"/>
        <v>0</v>
      </c>
      <c r="M27" s="135" t="s">
        <v>5</v>
      </c>
    </row>
    <row r="28" spans="1:28" ht="13.35" customHeight="1">
      <c r="A28" s="50" t="s">
        <v>5</v>
      </c>
      <c r="B28" s="141"/>
      <c r="C28" s="80"/>
      <c r="D28" s="93"/>
      <c r="E28" s="969"/>
      <c r="F28" s="385"/>
      <c r="G28" s="81"/>
      <c r="H28" s="82"/>
      <c r="I28" s="83" t="str">
        <f t="shared" si="2"/>
        <v/>
      </c>
      <c r="J28" s="282" t="str">
        <f t="shared" si="3"/>
        <v/>
      </c>
      <c r="K28" s="200">
        <v>25</v>
      </c>
      <c r="L28" s="133">
        <f t="shared" si="4"/>
        <v>0</v>
      </c>
      <c r="M28" s="135" t="s">
        <v>5</v>
      </c>
    </row>
    <row r="29" spans="1:28" ht="13.35" customHeight="1">
      <c r="A29" s="50" t="s">
        <v>5</v>
      </c>
      <c r="B29" s="141"/>
      <c r="C29" s="80"/>
      <c r="D29" s="93"/>
      <c r="E29" s="969"/>
      <c r="F29" s="385"/>
      <c r="G29" s="81"/>
      <c r="H29" s="82"/>
      <c r="I29" s="83" t="str">
        <f t="shared" si="2"/>
        <v/>
      </c>
      <c r="J29" s="282" t="str">
        <f t="shared" si="3"/>
        <v/>
      </c>
      <c r="K29" s="200">
        <v>26</v>
      </c>
      <c r="L29" s="133">
        <f t="shared" si="4"/>
        <v>0</v>
      </c>
      <c r="M29" s="135" t="s">
        <v>5</v>
      </c>
    </row>
    <row r="30" spans="1:28" ht="13.35" customHeight="1">
      <c r="A30" s="50" t="s">
        <v>5</v>
      </c>
      <c r="B30" s="141"/>
      <c r="C30" s="80"/>
      <c r="D30" s="93"/>
      <c r="E30" s="969"/>
      <c r="F30" s="385"/>
      <c r="G30" s="81"/>
      <c r="H30" s="82"/>
      <c r="I30" s="83" t="str">
        <f t="shared" si="2"/>
        <v/>
      </c>
      <c r="J30" s="282" t="str">
        <f t="shared" si="3"/>
        <v/>
      </c>
      <c r="K30" s="200">
        <v>27</v>
      </c>
      <c r="L30" s="133">
        <f t="shared" si="4"/>
        <v>0</v>
      </c>
      <c r="M30" s="135" t="s">
        <v>5</v>
      </c>
      <c r="O30" s="147"/>
      <c r="P30" s="147"/>
      <c r="Q30" s="147"/>
      <c r="R30" s="147"/>
      <c r="S30" s="147"/>
      <c r="T30" s="147"/>
      <c r="U30" s="147"/>
      <c r="V30" s="147"/>
      <c r="W30" s="147"/>
      <c r="X30" s="147"/>
      <c r="Y30" s="147"/>
      <c r="Z30" s="147"/>
      <c r="AA30" s="147"/>
    </row>
    <row r="31" spans="1:28" ht="13.35" customHeight="1">
      <c r="A31" s="50" t="s">
        <v>5</v>
      </c>
      <c r="B31" s="141"/>
      <c r="C31" s="80"/>
      <c r="D31" s="93"/>
      <c r="E31" s="969"/>
      <c r="F31" s="385"/>
      <c r="G31" s="81"/>
      <c r="H31" s="82"/>
      <c r="I31" s="83" t="str">
        <f t="shared" si="2"/>
        <v/>
      </c>
      <c r="J31" s="282" t="str">
        <f t="shared" si="3"/>
        <v/>
      </c>
      <c r="K31" s="200">
        <v>28</v>
      </c>
      <c r="L31" s="133">
        <f t="shared" si="4"/>
        <v>0</v>
      </c>
      <c r="M31" s="135" t="s">
        <v>5</v>
      </c>
      <c r="O31" s="147"/>
      <c r="P31" s="147"/>
      <c r="Q31" s="147"/>
      <c r="R31" s="147"/>
      <c r="S31" s="147"/>
      <c r="T31" s="147"/>
      <c r="U31" s="147"/>
      <c r="V31" s="147"/>
      <c r="W31" s="147"/>
      <c r="X31" s="147"/>
      <c r="Y31" s="147"/>
      <c r="Z31" s="147"/>
      <c r="AA31" s="147"/>
    </row>
    <row r="32" spans="1:28" ht="13.35" customHeight="1">
      <c r="A32" s="50" t="s">
        <v>5</v>
      </c>
      <c r="B32" s="141"/>
      <c r="C32" s="80"/>
      <c r="D32" s="93"/>
      <c r="E32" s="969"/>
      <c r="F32" s="385"/>
      <c r="G32" s="81"/>
      <c r="H32" s="82"/>
      <c r="I32" s="83" t="str">
        <f t="shared" si="2"/>
        <v/>
      </c>
      <c r="J32" s="282" t="str">
        <f t="shared" si="3"/>
        <v/>
      </c>
      <c r="K32" s="200">
        <v>29</v>
      </c>
      <c r="L32" s="133">
        <f t="shared" si="4"/>
        <v>0</v>
      </c>
      <c r="M32" s="135" t="s">
        <v>5</v>
      </c>
      <c r="O32" s="147"/>
      <c r="P32" s="147"/>
      <c r="Q32" s="147"/>
      <c r="R32" s="147"/>
      <c r="S32" s="147"/>
      <c r="T32" s="147"/>
      <c r="U32" s="147"/>
      <c r="V32" s="147"/>
      <c r="W32" s="147"/>
      <c r="X32" s="147"/>
      <c r="Y32" s="147"/>
      <c r="Z32" s="147"/>
      <c r="AA32" s="147"/>
    </row>
    <row r="33" spans="1:27" ht="13.35" customHeight="1">
      <c r="A33" s="50" t="s">
        <v>5</v>
      </c>
      <c r="B33" s="141"/>
      <c r="C33" s="80"/>
      <c r="D33" s="93"/>
      <c r="E33" s="969"/>
      <c r="F33" s="385"/>
      <c r="G33" s="81"/>
      <c r="H33" s="82"/>
      <c r="I33" s="83" t="str">
        <f t="shared" si="2"/>
        <v/>
      </c>
      <c r="J33" s="282" t="str">
        <f t="shared" si="3"/>
        <v/>
      </c>
      <c r="K33" s="200">
        <v>30</v>
      </c>
      <c r="L33" s="133">
        <f t="shared" si="4"/>
        <v>0</v>
      </c>
      <c r="M33" s="135" t="s">
        <v>5</v>
      </c>
      <c r="O33" s="147"/>
      <c r="P33" s="147"/>
      <c r="Q33" s="147"/>
      <c r="R33" s="147"/>
      <c r="S33" s="147"/>
      <c r="T33" s="147"/>
      <c r="U33" s="147"/>
      <c r="V33" s="147"/>
      <c r="W33" s="147"/>
      <c r="X33" s="147"/>
      <c r="Y33" s="147"/>
      <c r="Z33" s="147"/>
      <c r="AA33" s="147"/>
    </row>
    <row r="34" spans="1:27" ht="13.35" customHeight="1">
      <c r="A34" s="50" t="s">
        <v>5</v>
      </c>
      <c r="B34" s="141"/>
      <c r="C34" s="80"/>
      <c r="D34" s="93"/>
      <c r="E34" s="969"/>
      <c r="F34" s="385"/>
      <c r="G34" s="81"/>
      <c r="H34" s="82"/>
      <c r="I34" s="83" t="str">
        <f t="shared" si="2"/>
        <v/>
      </c>
      <c r="J34" s="282" t="str">
        <f t="shared" si="3"/>
        <v/>
      </c>
      <c r="K34" s="200">
        <v>31</v>
      </c>
      <c r="L34" s="133">
        <f t="shared" si="4"/>
        <v>0</v>
      </c>
      <c r="M34" s="135" t="s">
        <v>5</v>
      </c>
      <c r="O34" s="147"/>
      <c r="P34" s="147"/>
      <c r="Q34" s="147"/>
      <c r="R34" s="147"/>
      <c r="S34" s="147"/>
      <c r="T34" s="147"/>
      <c r="U34" s="147"/>
      <c r="V34" s="147"/>
      <c r="W34" s="147"/>
      <c r="X34" s="147"/>
      <c r="Y34" s="147"/>
      <c r="Z34" s="147"/>
      <c r="AA34" s="147"/>
    </row>
    <row r="35" spans="1:27" ht="13.35" customHeight="1">
      <c r="A35" s="50" t="s">
        <v>5</v>
      </c>
      <c r="B35" s="141"/>
      <c r="C35" s="80"/>
      <c r="D35" s="93"/>
      <c r="E35" s="969"/>
      <c r="F35" s="385"/>
      <c r="G35" s="81"/>
      <c r="H35" s="82"/>
      <c r="I35" s="83" t="str">
        <f t="shared" si="2"/>
        <v/>
      </c>
      <c r="J35" s="282" t="str">
        <f t="shared" si="3"/>
        <v/>
      </c>
      <c r="K35" s="200">
        <v>32</v>
      </c>
      <c r="L35" s="133">
        <f t="shared" si="4"/>
        <v>0</v>
      </c>
      <c r="M35" s="135" t="s">
        <v>5</v>
      </c>
      <c r="O35" s="147"/>
      <c r="P35" s="147"/>
      <c r="Q35" s="147"/>
      <c r="R35" s="147"/>
      <c r="S35" s="147"/>
      <c r="T35" s="147"/>
      <c r="U35" s="147"/>
      <c r="V35" s="147"/>
      <c r="W35" s="147"/>
      <c r="X35" s="147"/>
      <c r="Y35" s="147"/>
      <c r="Z35" s="147"/>
      <c r="AA35" s="147"/>
    </row>
    <row r="36" spans="1:27" ht="13.35" customHeight="1">
      <c r="A36" s="50" t="s">
        <v>5</v>
      </c>
      <c r="B36" s="141"/>
      <c r="C36" s="80"/>
      <c r="D36" s="93"/>
      <c r="E36" s="969"/>
      <c r="F36" s="385"/>
      <c r="G36" s="81"/>
      <c r="H36" s="82"/>
      <c r="I36" s="83" t="str">
        <f t="shared" si="2"/>
        <v/>
      </c>
      <c r="J36" s="282" t="str">
        <f t="shared" si="3"/>
        <v/>
      </c>
      <c r="K36" s="200">
        <v>33</v>
      </c>
      <c r="L36" s="133">
        <f t="shared" si="4"/>
        <v>0</v>
      </c>
      <c r="M36" s="135" t="s">
        <v>5</v>
      </c>
      <c r="O36" s="147"/>
      <c r="P36" s="147"/>
      <c r="Q36" s="147"/>
      <c r="R36" s="147"/>
      <c r="S36" s="147"/>
      <c r="T36" s="147"/>
      <c r="U36" s="147"/>
      <c r="V36" s="147"/>
      <c r="W36" s="147"/>
      <c r="X36" s="147"/>
      <c r="Y36" s="147"/>
      <c r="Z36" s="147"/>
      <c r="AA36" s="147"/>
    </row>
    <row r="37" spans="1:27" ht="13.35" customHeight="1">
      <c r="A37" s="50" t="s">
        <v>5</v>
      </c>
      <c r="B37" s="141"/>
      <c r="C37" s="80"/>
      <c r="D37" s="93"/>
      <c r="E37" s="969"/>
      <c r="F37" s="385"/>
      <c r="G37" s="81"/>
      <c r="H37" s="82"/>
      <c r="I37" s="83" t="str">
        <f t="shared" si="2"/>
        <v/>
      </c>
      <c r="J37" s="282" t="str">
        <f t="shared" si="3"/>
        <v/>
      </c>
      <c r="K37" s="200">
        <v>34</v>
      </c>
      <c r="L37" s="133">
        <f t="shared" si="4"/>
        <v>0</v>
      </c>
      <c r="M37" s="135" t="s">
        <v>5</v>
      </c>
      <c r="O37" s="147"/>
      <c r="P37" s="147"/>
      <c r="Q37" s="147"/>
      <c r="R37" s="147"/>
      <c r="S37" s="147"/>
      <c r="T37" s="147"/>
      <c r="U37" s="147"/>
      <c r="V37" s="147"/>
      <c r="W37" s="147"/>
      <c r="X37" s="147"/>
      <c r="Y37" s="147"/>
      <c r="Z37" s="147"/>
      <c r="AA37" s="147"/>
    </row>
    <row r="38" spans="1:27" ht="13.35" customHeight="1">
      <c r="A38" s="50" t="s">
        <v>5</v>
      </c>
      <c r="B38" s="141"/>
      <c r="C38" s="80"/>
      <c r="D38" s="93"/>
      <c r="E38" s="969"/>
      <c r="F38" s="385"/>
      <c r="G38" s="81"/>
      <c r="H38" s="82"/>
      <c r="I38" s="83" t="str">
        <f t="shared" si="2"/>
        <v/>
      </c>
      <c r="J38" s="282" t="str">
        <f t="shared" si="3"/>
        <v/>
      </c>
      <c r="K38" s="200">
        <v>35</v>
      </c>
      <c r="L38" s="133">
        <f t="shared" si="4"/>
        <v>0</v>
      </c>
      <c r="M38" s="135" t="s">
        <v>5</v>
      </c>
      <c r="O38" s="147"/>
      <c r="P38" s="147"/>
      <c r="Q38" s="147"/>
      <c r="R38" s="147"/>
      <c r="S38" s="147"/>
      <c r="T38" s="147"/>
      <c r="U38" s="147"/>
      <c r="V38" s="147"/>
      <c r="W38" s="147"/>
      <c r="X38" s="147"/>
      <c r="Y38" s="147"/>
      <c r="Z38" s="147"/>
      <c r="AA38" s="147"/>
    </row>
    <row r="39" spans="1:27" ht="13.35" customHeight="1">
      <c r="A39" s="50" t="s">
        <v>5</v>
      </c>
      <c r="B39" s="141"/>
      <c r="C39" s="80"/>
      <c r="D39" s="93"/>
      <c r="E39" s="969"/>
      <c r="F39" s="385"/>
      <c r="G39" s="81"/>
      <c r="H39" s="82"/>
      <c r="I39" s="83" t="str">
        <f t="shared" si="2"/>
        <v/>
      </c>
      <c r="J39" s="282" t="str">
        <f t="shared" si="3"/>
        <v/>
      </c>
      <c r="K39" s="200">
        <v>36</v>
      </c>
      <c r="L39" s="133">
        <f t="shared" si="4"/>
        <v>0</v>
      </c>
      <c r="M39" s="135" t="s">
        <v>5</v>
      </c>
      <c r="O39" s="147"/>
      <c r="P39" s="147"/>
      <c r="Q39" s="147"/>
      <c r="R39" s="147"/>
      <c r="S39" s="147"/>
      <c r="T39" s="147"/>
      <c r="U39" s="147"/>
      <c r="V39" s="147"/>
      <c r="W39" s="147"/>
      <c r="X39" s="147"/>
      <c r="Y39" s="147"/>
      <c r="Z39" s="147"/>
      <c r="AA39" s="147"/>
    </row>
    <row r="40" spans="1:27" ht="13.35" customHeight="1">
      <c r="A40" s="50" t="s">
        <v>5</v>
      </c>
      <c r="B40" s="141"/>
      <c r="C40" s="80"/>
      <c r="D40" s="93"/>
      <c r="E40" s="969"/>
      <c r="F40" s="385"/>
      <c r="G40" s="81"/>
      <c r="H40" s="82"/>
      <c r="I40" s="83" t="str">
        <f t="shared" si="2"/>
        <v/>
      </c>
      <c r="J40" s="282" t="str">
        <f t="shared" si="3"/>
        <v/>
      </c>
      <c r="K40" s="200">
        <v>37</v>
      </c>
      <c r="L40" s="133">
        <f t="shared" si="4"/>
        <v>0</v>
      </c>
      <c r="M40" s="135" t="s">
        <v>5</v>
      </c>
      <c r="AA40" s="147"/>
    </row>
    <row r="41" spans="1:27" ht="13.35" customHeight="1">
      <c r="A41" s="50" t="s">
        <v>5</v>
      </c>
      <c r="B41" s="141"/>
      <c r="C41" s="80"/>
      <c r="D41" s="93"/>
      <c r="E41" s="969"/>
      <c r="F41" s="385"/>
      <c r="G41" s="81"/>
      <c r="H41" s="82"/>
      <c r="I41" s="83" t="str">
        <f t="shared" si="2"/>
        <v/>
      </c>
      <c r="J41" s="282" t="str">
        <f t="shared" si="3"/>
        <v/>
      </c>
      <c r="K41" s="200">
        <v>38</v>
      </c>
      <c r="L41" s="133">
        <f t="shared" si="4"/>
        <v>0</v>
      </c>
      <c r="M41" s="135" t="s">
        <v>5</v>
      </c>
      <c r="O41" s="147"/>
      <c r="P41" s="147"/>
      <c r="Q41" s="147"/>
      <c r="R41" s="147"/>
      <c r="S41" s="147"/>
      <c r="T41" s="147"/>
      <c r="U41" s="147"/>
      <c r="V41" s="147"/>
      <c r="W41" s="147"/>
      <c r="X41" s="147"/>
      <c r="Y41" s="147"/>
      <c r="Z41" s="147"/>
      <c r="AA41" s="147"/>
    </row>
    <row r="42" spans="1:27" ht="13.35" customHeight="1">
      <c r="A42" s="50" t="s">
        <v>5</v>
      </c>
      <c r="B42" s="141"/>
      <c r="C42" s="80"/>
      <c r="D42" s="93"/>
      <c r="E42" s="969"/>
      <c r="F42" s="385"/>
      <c r="G42" s="81"/>
      <c r="H42" s="82"/>
      <c r="I42" s="83" t="str">
        <f t="shared" si="2"/>
        <v/>
      </c>
      <c r="J42" s="282" t="str">
        <f t="shared" si="3"/>
        <v/>
      </c>
      <c r="K42" s="200">
        <v>39</v>
      </c>
      <c r="L42" s="133">
        <f t="shared" si="4"/>
        <v>0</v>
      </c>
      <c r="M42" s="135" t="s">
        <v>5</v>
      </c>
      <c r="O42" s="147"/>
      <c r="P42" s="147"/>
      <c r="Q42" s="147"/>
      <c r="R42" s="147"/>
      <c r="S42" s="147"/>
      <c r="T42" s="147"/>
      <c r="U42" s="147"/>
      <c r="V42" s="147"/>
      <c r="W42" s="147"/>
      <c r="X42" s="147"/>
      <c r="Y42" s="147"/>
      <c r="Z42" s="147"/>
      <c r="AA42" s="147"/>
    </row>
    <row r="43" spans="1:27" ht="13.35" customHeight="1">
      <c r="A43" s="50" t="s">
        <v>5</v>
      </c>
      <c r="B43" s="141"/>
      <c r="C43" s="80"/>
      <c r="D43" s="93"/>
      <c r="E43" s="969"/>
      <c r="F43" s="385"/>
      <c r="G43" s="81"/>
      <c r="H43" s="82"/>
      <c r="I43" s="83" t="str">
        <f t="shared" si="2"/>
        <v/>
      </c>
      <c r="J43" s="282" t="str">
        <f t="shared" si="3"/>
        <v/>
      </c>
      <c r="K43" s="200">
        <v>40</v>
      </c>
      <c r="L43" s="133">
        <f t="shared" si="4"/>
        <v>0</v>
      </c>
      <c r="M43" s="135" t="s">
        <v>5</v>
      </c>
      <c r="O43" s="147"/>
      <c r="P43" s="147"/>
      <c r="Q43" s="147"/>
      <c r="R43" s="147"/>
      <c r="S43" s="147"/>
      <c r="T43" s="147"/>
      <c r="U43" s="147"/>
      <c r="V43" s="147"/>
      <c r="W43" s="147"/>
      <c r="X43" s="147"/>
      <c r="Y43" s="147"/>
      <c r="Z43" s="147"/>
      <c r="AA43" s="147"/>
    </row>
    <row r="44" spans="1:27" ht="13.35" customHeight="1">
      <c r="A44" s="50" t="s">
        <v>5</v>
      </c>
      <c r="B44" s="141"/>
      <c r="C44" s="80"/>
      <c r="D44" s="93"/>
      <c r="E44" s="969"/>
      <c r="F44" s="385"/>
      <c r="G44" s="81"/>
      <c r="H44" s="82"/>
      <c r="I44" s="83" t="str">
        <f t="shared" si="2"/>
        <v/>
      </c>
      <c r="J44" s="282" t="str">
        <f t="shared" si="3"/>
        <v/>
      </c>
      <c r="K44" s="200">
        <v>41</v>
      </c>
      <c r="L44" s="133">
        <f t="shared" si="4"/>
        <v>0</v>
      </c>
      <c r="M44" s="135" t="s">
        <v>5</v>
      </c>
      <c r="O44" s="147"/>
      <c r="P44" s="147"/>
      <c r="Q44" s="147"/>
      <c r="R44" s="147"/>
      <c r="S44" s="147"/>
      <c r="T44" s="147"/>
      <c r="U44" s="147"/>
      <c r="V44" s="147"/>
      <c r="W44" s="147"/>
      <c r="X44" s="147"/>
      <c r="Y44" s="147"/>
      <c r="Z44" s="147"/>
      <c r="AA44" s="147"/>
    </row>
    <row r="45" spans="1:27" ht="13.35" customHeight="1">
      <c r="A45" s="50" t="s">
        <v>5</v>
      </c>
      <c r="B45" s="141"/>
      <c r="C45" s="80"/>
      <c r="D45" s="93"/>
      <c r="E45" s="969"/>
      <c r="F45" s="385"/>
      <c r="G45" s="81"/>
      <c r="H45" s="82"/>
      <c r="I45" s="83" t="str">
        <f t="shared" ref="I45:I46" si="7">IF(G45&lt;&gt;"",+G45-G45/(1+H45/100),"")</f>
        <v/>
      </c>
      <c r="J45" s="282" t="str">
        <f t="shared" ref="J45:J46" si="8">IF(G45&lt;&gt;0,+G45-I45,"")</f>
        <v/>
      </c>
      <c r="K45" s="200">
        <v>44</v>
      </c>
      <c r="L45" s="133">
        <f t="shared" si="4"/>
        <v>0</v>
      </c>
      <c r="M45" s="135" t="s">
        <v>5</v>
      </c>
    </row>
    <row r="46" spans="1:27" ht="13.35" customHeight="1" thickBot="1">
      <c r="A46" s="50" t="s">
        <v>5</v>
      </c>
      <c r="B46" s="141"/>
      <c r="C46" s="80"/>
      <c r="D46" s="93"/>
      <c r="E46" s="969"/>
      <c r="F46" s="385"/>
      <c r="G46" s="81"/>
      <c r="H46" s="82"/>
      <c r="I46" s="83" t="str">
        <f t="shared" si="7"/>
        <v/>
      </c>
      <c r="J46" s="282" t="str">
        <f t="shared" si="8"/>
        <v/>
      </c>
      <c r="K46" s="200">
        <v>45</v>
      </c>
      <c r="L46" s="133">
        <f t="shared" si="4"/>
        <v>0</v>
      </c>
      <c r="M46" s="135" t="s">
        <v>5</v>
      </c>
    </row>
    <row r="47" spans="1:27" ht="12" customHeight="1" thickTop="1" thickBot="1">
      <c r="A47" s="391" t="s">
        <v>283</v>
      </c>
      <c r="B47" s="1244" t="str">
        <f>IF($A$48=0,"^ Zeile einfügen","bis hierher ziehen!")</f>
        <v>^ Zeile einfügen</v>
      </c>
      <c r="C47" s="1244"/>
      <c r="D47" s="392" t="s">
        <v>5</v>
      </c>
      <c r="E47" s="393" t="s">
        <v>5</v>
      </c>
      <c r="F47" s="394" t="s">
        <v>5</v>
      </c>
      <c r="G47" s="394"/>
      <c r="H47" s="395"/>
      <c r="I47" s="396"/>
      <c r="J47" s="425"/>
      <c r="K47" s="201">
        <v>0</v>
      </c>
      <c r="L47" s="185" t="s">
        <v>5</v>
      </c>
      <c r="M47" s="398" t="s">
        <v>283</v>
      </c>
    </row>
    <row r="48" spans="1:27" ht="12" customHeight="1" thickTop="1" thickBot="1">
      <c r="A48" s="390">
        <f>COUNTBLANK(A3:A47)+A49</f>
        <v>0</v>
      </c>
      <c r="B48" s="193" t="str">
        <f>+EÜR!C11</f>
        <v>ü</v>
      </c>
      <c r="C48" s="194" t="s">
        <v>5</v>
      </c>
      <c r="D48" s="194" t="s">
        <v>5</v>
      </c>
      <c r="E48" s="195" t="s">
        <v>5</v>
      </c>
      <c r="F48" s="196" t="s">
        <v>5</v>
      </c>
      <c r="G48" s="197">
        <f>SUBTOTAL(9,G3:G47)</f>
        <v>0</v>
      </c>
      <c r="H48" s="1242">
        <f>SUBTOTAL(9,I3:I47)</f>
        <v>0</v>
      </c>
      <c r="I48" s="1243">
        <f>SUBTOTAL(9,I3:I47)</f>
        <v>0</v>
      </c>
      <c r="J48" s="1233">
        <f>G48-H48</f>
        <v>0</v>
      </c>
      <c r="K48" s="1234"/>
      <c r="L48" s="1235"/>
      <c r="M48" s="135" t="s">
        <v>5</v>
      </c>
    </row>
    <row r="49" spans="1:14" ht="12" customHeight="1" thickTop="1" thickBot="1">
      <c r="A49" s="390">
        <f>IF(ISERROR(J47),1,0)</f>
        <v>0</v>
      </c>
      <c r="B49" s="192">
        <f>J48-G49-E49-C49</f>
        <v>0</v>
      </c>
      <c r="C49" s="1239">
        <f>SUMIF(F4:F47,"Kreditkarte",G4:G47)</f>
        <v>0</v>
      </c>
      <c r="D49" s="1239"/>
      <c r="E49" s="1240">
        <f>SUMIF(F4:F47,"Konto",G4:G47)</f>
        <v>0</v>
      </c>
      <c r="F49" s="1240"/>
      <c r="G49" s="1241">
        <f>SUMIF(F4:F47,"Geldbeutel",G4:G47)</f>
        <v>0</v>
      </c>
      <c r="H49" s="1241"/>
      <c r="I49" s="1241"/>
      <c r="J49" s="1236"/>
      <c r="K49" s="1237"/>
      <c r="L49" s="1238"/>
      <c r="M49" s="135" t="s">
        <v>5</v>
      </c>
    </row>
    <row r="50" spans="1:14" s="15" customFormat="1" ht="5.25" customHeight="1" thickTop="1">
      <c r="A50" s="36"/>
      <c r="B50" s="2"/>
      <c r="C50" s="3"/>
      <c r="D50" s="3"/>
      <c r="E50" s="1"/>
      <c r="G50" s="16"/>
      <c r="H50" s="16"/>
      <c r="I50" s="17"/>
      <c r="J50" s="18"/>
      <c r="K50" s="18"/>
      <c r="L50" s="31"/>
      <c r="N50" s="148"/>
    </row>
    <row r="51" spans="1:14">
      <c r="A51" s="36"/>
    </row>
  </sheetData>
  <sheetProtection formatCells="0" insertRows="0" deleteRows="0" selectLockedCells="1" sort="0" autoFilter="0"/>
  <mergeCells count="20">
    <mergeCell ref="C2:I2"/>
    <mergeCell ref="J2:L2"/>
    <mergeCell ref="C49:D49"/>
    <mergeCell ref="E49:F49"/>
    <mergeCell ref="G49:I49"/>
    <mergeCell ref="H48:I48"/>
    <mergeCell ref="B47:C47"/>
    <mergeCell ref="O18:Z18"/>
    <mergeCell ref="AA18:AB18"/>
    <mergeCell ref="J48:L49"/>
    <mergeCell ref="O14:Z14"/>
    <mergeCell ref="AA4:AB4"/>
    <mergeCell ref="AA14:AB14"/>
    <mergeCell ref="AA9:AB9"/>
    <mergeCell ref="O10:Z10"/>
    <mergeCell ref="O11:Z11"/>
    <mergeCell ref="AA13:AB13"/>
    <mergeCell ref="AA17:AB17"/>
    <mergeCell ref="O19:Z19"/>
    <mergeCell ref="O20:Z20"/>
  </mergeCells>
  <conditionalFormatting sqref="A4:A46">
    <cfRule type="expression" dxfId="1635" priority="20">
      <formula>ISERROR(J4)</formula>
    </cfRule>
    <cfRule type="cellIs" dxfId="1634" priority="21" operator="equal">
      <formula>""</formula>
    </cfRule>
  </conditionalFormatting>
  <conditionalFormatting sqref="A47:C47">
    <cfRule type="expression" dxfId="1633" priority="5">
      <formula>$A$48&lt;&gt;0</formula>
    </cfRule>
  </conditionalFormatting>
  <conditionalFormatting sqref="B2">
    <cfRule type="expression" dxfId="1632" priority="47" stopIfTrue="1">
      <formula>$B$48="x"</formula>
    </cfRule>
  </conditionalFormatting>
  <conditionalFormatting sqref="B4:B46">
    <cfRule type="cellIs" dxfId="1629" priority="34" operator="equal">
      <formula>""</formula>
    </cfRule>
  </conditionalFormatting>
  <conditionalFormatting sqref="B48">
    <cfRule type="cellIs" dxfId="1628" priority="72" operator="equal">
      <formula>"y"</formula>
    </cfRule>
  </conditionalFormatting>
  <conditionalFormatting sqref="B4:I46">
    <cfRule type="expression" dxfId="1627" priority="30">
      <formula>$B$1="x"</formula>
    </cfRule>
  </conditionalFormatting>
  <conditionalFormatting sqref="B3:J3 J4:J46">
    <cfRule type="expression" dxfId="1626" priority="11028">
      <formula>$B$48="x"</formula>
    </cfRule>
  </conditionalFormatting>
  <conditionalFormatting sqref="B3:L3">
    <cfRule type="expression" dxfId="1625" priority="66">
      <formula>$B$48="x"</formula>
    </cfRule>
  </conditionalFormatting>
  <conditionalFormatting sqref="C4:D46">
    <cfRule type="expression" dxfId="1624" priority="37">
      <formula>AND($B4&lt;&gt;"",$C4="")</formula>
    </cfRule>
  </conditionalFormatting>
  <conditionalFormatting sqref="C49:I49">
    <cfRule type="cellIs" dxfId="1623" priority="71" stopIfTrue="1" operator="lessThan">
      <formula>0</formula>
    </cfRule>
    <cfRule type="cellIs" dxfId="1622" priority="69" stopIfTrue="1" operator="greaterThanOrEqual">
      <formula>0</formula>
    </cfRule>
  </conditionalFormatting>
  <conditionalFormatting sqref="D47:J47">
    <cfRule type="expression" dxfId="1621" priority="7">
      <formula>$A$48&lt;&gt;0</formula>
    </cfRule>
  </conditionalFormatting>
  <conditionalFormatting sqref="H4:H46">
    <cfRule type="expression" dxfId="1620" priority="33">
      <formula>AND(G4&lt;&gt;"",H4="",$I$1&lt;&gt;"x")</formula>
    </cfRule>
  </conditionalFormatting>
  <conditionalFormatting sqref="H4:I46">
    <cfRule type="expression" dxfId="1619" priority="31">
      <formula>AND($I4&lt;&gt;0,$I$1&lt;&gt;"ü")</formula>
    </cfRule>
    <cfRule type="expression" dxfId="1618" priority="32">
      <formula>$I$1&lt;&gt;"ü"</formula>
    </cfRule>
  </conditionalFormatting>
  <conditionalFormatting sqref="J4:L46">
    <cfRule type="expression" dxfId="1616" priority="17809">
      <formula>$B$48="x"</formula>
    </cfRule>
  </conditionalFormatting>
  <conditionalFormatting sqref="J48:L48 C49:L49 C48:H48">
    <cfRule type="expression" dxfId="1615" priority="68">
      <formula>$B$48="x"</formula>
    </cfRule>
  </conditionalFormatting>
  <conditionalFormatting sqref="J48:L49">
    <cfRule type="expression" dxfId="1614" priority="67">
      <formula>AND($B$48="x",$J$48&lt;&gt;0)</formula>
    </cfRule>
  </conditionalFormatting>
  <conditionalFormatting sqref="M3">
    <cfRule type="cellIs" dxfId="1613" priority="29" operator="equal">
      <formula>""</formula>
    </cfRule>
  </conditionalFormatting>
  <conditionalFormatting sqref="M4:M46">
    <cfRule type="cellIs" dxfId="1612" priority="28" operator="equal">
      <formula>""</formula>
    </cfRule>
    <cfRule type="expression" dxfId="1611" priority="27">
      <formula>ISERROR(J4)</formula>
    </cfRule>
  </conditionalFormatting>
  <conditionalFormatting sqref="M47">
    <cfRule type="expression" dxfId="1610" priority="6">
      <formula>$A$48&lt;&gt;0</formula>
    </cfRule>
  </conditionalFormatting>
  <conditionalFormatting sqref="M47:M49">
    <cfRule type="cellIs" dxfId="1609" priority="9" operator="equal">
      <formula>""</formula>
    </cfRule>
  </conditionalFormatting>
  <conditionalFormatting sqref="N10:AB10 O21:AB49">
    <cfRule type="expression" dxfId="1608" priority="4">
      <formula>$N$2=0</formula>
    </cfRule>
  </conditionalFormatting>
  <conditionalFormatting sqref="O11:Z11">
    <cfRule type="cellIs" dxfId="1606" priority="53" operator="equal">
      <formula>"Fehler!"</formula>
    </cfRule>
  </conditionalFormatting>
  <conditionalFormatting sqref="O4:AA4 O19:O20">
    <cfRule type="expression" dxfId="1602" priority="46">
      <formula>$N$2=0</formula>
    </cfRule>
  </conditionalFormatting>
  <conditionalFormatting sqref="O2:AB3">
    <cfRule type="expression" dxfId="1600" priority="1">
      <formula>$N$2=0</formula>
    </cfRule>
  </conditionalFormatting>
  <conditionalFormatting sqref="O5:AB8 O9:AA9">
    <cfRule type="expression" dxfId="1599" priority="52">
      <formula>$N$2=0</formula>
    </cfRule>
  </conditionalFormatting>
  <conditionalFormatting sqref="O11:AB18">
    <cfRule type="expression" dxfId="1598" priority="2">
      <formula>$N$2=0</formula>
    </cfRule>
  </conditionalFormatting>
  <conditionalFormatting sqref="AA19:AB20">
    <cfRule type="expression" dxfId="1597" priority="8">
      <formula>$N$2=0</formula>
    </cfRule>
  </conditionalFormatting>
  <dataValidations count="2">
    <dataValidation type="list" allowBlank="1" showInputMessage="1" showErrorMessage="1" sqref="H4:H46" xr:uid="{6D8F9507-0E66-4F12-B196-9D95CD4C66A1}">
      <formula1>"19,7,0,~"</formula1>
    </dataValidation>
    <dataValidation type="list" allowBlank="1" showInputMessage="1" showErrorMessage="1" sqref="F4:F46" xr:uid="{F891C15E-9CB7-4C4B-A96E-FB18D376D98C}">
      <formula1>"Konto,Geldbeutel,Kreditkarte,x"</formula1>
    </dataValidation>
  </dataValidations>
  <hyperlinks>
    <hyperlink ref="J2" location="'2022 EÜR'!A1" display="Menü" xr:uid="{14E81103-CDE5-4A8E-AA43-3604ECF0FFB5}"/>
    <hyperlink ref="J2:L2" location="EÜR!A1" display="EÜR" xr:uid="{DDCE4F06-B16F-41FF-9D58-22DA5DFD3970}"/>
  </hyperlinks>
  <printOptions horizontalCentered="1"/>
  <pageMargins left="0" right="0" top="0" bottom="0.31496062992125984" header="0" footer="0"/>
  <pageSetup paperSize="9" orientation="portrait" r:id="rId1"/>
  <headerFooter>
    <oddFooter>&amp;L&amp;"Arial,Standard"&amp;8Datei: &amp;Z&amp;F/&amp;A&amp;C&amp;"Arial,Standard"&amp;8Seite &amp;P von &amp;N&amp;R&amp;"Arial,Standard"&amp;8Druck: &amp;D&amp;T Uhr</oddFooter>
  </headerFooter>
  <extLst>
    <ext xmlns:x14="http://schemas.microsoft.com/office/spreadsheetml/2009/9/main" uri="{78C0D931-6437-407d-A8EE-F0AAD7539E65}">
      <x14:conditionalFormattings>
        <x14:conditionalFormatting xmlns:xm="http://schemas.microsoft.com/office/excel/2006/main">
          <x14:cfRule type="cellIs" priority="35" operator="greaterThan" id="{32256DE1-E7C0-466F-AD7C-24917EF08B15}">
            <xm:f>EÜR!$I$78</xm:f>
            <x14:dxf>
              <font>
                <b/>
                <i val="0"/>
                <color rgb="FFFFFF00"/>
              </font>
              <fill>
                <patternFill>
                  <bgColor rgb="FFC00000"/>
                </patternFill>
              </fill>
            </x14:dxf>
          </x14:cfRule>
          <x14:cfRule type="cellIs" priority="36" operator="lessThan" id="{AB5AB039-5B3C-4C56-9046-796AEDFE4D14}">
            <xm:f>EÜR!$I$77</xm:f>
            <x14:dxf>
              <font>
                <b/>
                <i val="0"/>
                <color rgb="FFFFFF00"/>
              </font>
              <fill>
                <patternFill>
                  <bgColor rgb="FFC00000"/>
                </patternFill>
              </fill>
            </x14:dxf>
          </x14:cfRule>
          <xm:sqref>B4:B46</xm:sqref>
        </x14:conditionalFormatting>
        <x14:conditionalFormatting xmlns:xm="http://schemas.microsoft.com/office/excel/2006/main">
          <x14:cfRule type="expression" priority="50" id="{3B881CB6-3D53-48A0-9B31-B1C633B66AE2}">
            <xm:f>AND(EÜR!$J$66&lt;&gt;"ü",$H$48&lt;&gt;0)</xm:f>
            <x14:dxf>
              <font>
                <b/>
                <i val="0"/>
                <color rgb="FFFFFF00"/>
              </font>
              <fill>
                <patternFill>
                  <bgColor rgb="FFFF0000"/>
                </patternFill>
              </fill>
            </x14:dxf>
          </x14:cfRule>
          <xm:sqref>H48:I48</xm:sqref>
        </x14:conditionalFormatting>
        <x14:conditionalFormatting xmlns:xm="http://schemas.microsoft.com/office/excel/2006/main">
          <x14:cfRule type="expression" priority="48" id="{73023681-9D8D-436B-AA86-A3192F016ED9}">
            <xm:f>EÜR!$J$66="-"</xm:f>
            <x14:dxf>
              <font>
                <b/>
                <i val="0"/>
                <color theme="0"/>
              </font>
              <fill>
                <patternFill>
                  <bgColor theme="0"/>
                </patternFill>
              </fill>
              <border>
                <left/>
                <right/>
                <top/>
                <bottom/>
              </border>
            </x14:dxf>
          </x14:cfRule>
          <xm:sqref>O19:O20 AA19:AA20 O21:AA21</xm:sqref>
        </x14:conditionalFormatting>
        <x14:conditionalFormatting xmlns:xm="http://schemas.microsoft.com/office/excel/2006/main">
          <x14:cfRule type="expression" priority="54" id="{EDE29240-B3F9-4145-81A5-90436AD1F827}">
            <xm:f>AND(O13&lt;&gt;0,U!L36="!",U!L37="!")</xm:f>
            <x14:dxf>
              <font>
                <b/>
                <i val="0"/>
                <color rgb="FFFF0000"/>
              </font>
              <fill>
                <patternFill>
                  <bgColor rgb="FFFFCCCC"/>
                </patternFill>
              </fill>
            </x14:dxf>
          </x14:cfRule>
          <x14:cfRule type="expression" priority="55" id="{FEF46CA6-BF24-4F4C-AACE-877243871201}">
            <xm:f>U!L37&lt;&gt;"!"</xm:f>
            <x14:dxf>
              <font>
                <b/>
                <i val="0"/>
                <color rgb="FF006666"/>
              </font>
              <fill>
                <patternFill>
                  <bgColor theme="6" tint="0.39994506668294322"/>
                </patternFill>
              </fill>
            </x14:dxf>
          </x14:cfRule>
          <x14:cfRule type="expression" priority="56" id="{40933A87-552A-499D-913E-B17043306895}">
            <xm:f>U!L36&lt;&gt;"!"</xm:f>
            <x14:dxf>
              <font>
                <b/>
                <i val="0"/>
                <color theme="9" tint="-0.499984740745262"/>
              </font>
              <fill>
                <patternFill>
                  <bgColor rgb="FFFFFF99"/>
                </patternFill>
              </fill>
            </x14:dxf>
          </x14:cfRule>
          <xm:sqref>O13:Z13</xm:sqref>
        </x14:conditionalFormatting>
        <x14:conditionalFormatting xmlns:xm="http://schemas.microsoft.com/office/excel/2006/main">
          <x14:cfRule type="expression" priority="3" id="{FDE5EC60-8BF6-4608-86C1-E2689B7FE61E}">
            <xm:f>EÜR!$J$66="-"</xm:f>
            <x14:dxf>
              <font>
                <b/>
                <i val="0"/>
                <color theme="0"/>
              </font>
              <fill>
                <patternFill>
                  <bgColor theme="0"/>
                </patternFill>
              </fill>
              <border>
                <left/>
                <right/>
                <top/>
                <bottom/>
              </border>
            </x14:dxf>
          </x14:cfRule>
          <xm:sqref>O12:AA18</xm:sqref>
        </x14:conditionalFormatting>
      </x14:conditionalFormattings>
    </ext>
  </extLst>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F89403-2B1F-4D6E-BBCB-A6091B90E78E}">
  <sheetPr>
    <pageSetUpPr autoPageBreaks="0"/>
  </sheetPr>
  <dimension ref="A1:O70"/>
  <sheetViews>
    <sheetView showGridLines="0" showRowColHeaders="0" zoomScaleNormal="100" workbookViewId="0"/>
  </sheetViews>
  <sheetFormatPr baseColWidth="10" defaultColWidth="9.77734375" defaultRowHeight="12.75"/>
  <cols>
    <col min="1" max="1" width="0.44140625" style="13" customWidth="1"/>
    <col min="2" max="2" width="0.77734375" style="12" customWidth="1"/>
    <col min="3" max="3" width="7.6640625" style="30" customWidth="1"/>
    <col min="4" max="4" width="9.5546875" style="24" customWidth="1"/>
    <col min="5" max="5" width="11.88671875" style="24" customWidth="1"/>
    <col min="6" max="6" width="7.6640625" style="24" customWidth="1"/>
    <col min="7" max="7" width="6.6640625" style="25" customWidth="1"/>
    <col min="8" max="8" width="9.109375" style="26" customWidth="1"/>
    <col min="9" max="9" width="9.6640625" style="27" customWidth="1"/>
    <col min="10" max="10" width="2.6640625" style="28" customWidth="1"/>
    <col min="11" max="11" width="7.109375" style="29" customWidth="1"/>
    <col min="12" max="12" width="9.77734375" style="27" customWidth="1"/>
    <col min="13" max="13" width="2.5546875" style="27" hidden="1" customWidth="1"/>
    <col min="14" max="14" width="1.5546875" style="32" hidden="1" customWidth="1"/>
    <col min="15" max="15" width="1.109375" style="13" customWidth="1"/>
    <col min="16" max="16" width="0.44140625" style="13" customWidth="1"/>
    <col min="17" max="16384" width="9.77734375" style="13"/>
  </cols>
  <sheetData>
    <row r="1" spans="1:15" s="37" customFormat="1" ht="21" customHeight="1" thickBot="1">
      <c r="A1" s="456"/>
      <c r="B1" s="72"/>
      <c r="C1" s="1574" t="s">
        <v>320</v>
      </c>
      <c r="D1" s="1574"/>
      <c r="E1" s="1574"/>
      <c r="F1" s="1574"/>
      <c r="G1" s="784"/>
      <c r="H1" s="784"/>
      <c r="I1" s="784"/>
      <c r="J1" s="784"/>
      <c r="K1" s="1504" t="s">
        <v>413</v>
      </c>
      <c r="L1" s="1504"/>
      <c r="M1" s="577"/>
      <c r="N1" s="578"/>
    </row>
    <row r="2" spans="1:15" ht="23.1" customHeight="1" thickTop="1" thickBot="1">
      <c r="B2" s="72"/>
      <c r="C2" s="579" t="s">
        <v>321</v>
      </c>
      <c r="D2" s="1580" t="s">
        <v>322</v>
      </c>
      <c r="E2" s="1581"/>
      <c r="F2" s="1581"/>
      <c r="G2" s="1581"/>
      <c r="H2" s="1581"/>
      <c r="I2" s="1578" t="s">
        <v>424</v>
      </c>
      <c r="J2" s="1578"/>
      <c r="K2" s="1579"/>
      <c r="L2" s="813" t="s">
        <v>8</v>
      </c>
      <c r="M2" s="580"/>
      <c r="N2" s="580"/>
      <c r="O2" s="134"/>
    </row>
    <row r="3" spans="1:15" ht="14.25" customHeight="1" thickTop="1">
      <c r="B3" s="72" t="s">
        <v>5</v>
      </c>
      <c r="C3" s="581" t="s">
        <v>1</v>
      </c>
      <c r="D3" s="582"/>
      <c r="E3" s="583"/>
      <c r="F3" s="583"/>
      <c r="G3" s="584" t="s">
        <v>7</v>
      </c>
      <c r="H3" s="585" t="s">
        <v>4</v>
      </c>
      <c r="I3" s="585" t="s">
        <v>31</v>
      </c>
      <c r="J3" s="586" t="s">
        <v>33</v>
      </c>
      <c r="K3" s="587" t="s">
        <v>32</v>
      </c>
      <c r="L3" s="588" t="s">
        <v>143</v>
      </c>
      <c r="M3" s="199">
        <v>0</v>
      </c>
      <c r="N3" s="65" t="s">
        <v>5</v>
      </c>
      <c r="O3" s="135"/>
    </row>
    <row r="4" spans="1:15" ht="12.95" customHeight="1">
      <c r="B4" s="50" t="s">
        <v>5</v>
      </c>
      <c r="C4" s="814"/>
      <c r="D4" s="1588"/>
      <c r="E4" s="1592"/>
      <c r="F4" s="815"/>
      <c r="G4" s="816"/>
      <c r="H4" s="817"/>
      <c r="I4" s="818"/>
      <c r="J4" s="754"/>
      <c r="K4" s="755"/>
      <c r="L4" s="833" t="s">
        <v>323</v>
      </c>
      <c r="M4" s="589">
        <v>1</v>
      </c>
      <c r="N4" s="590" t="e">
        <f>IF(C4&lt;#REF!,0,IF(C4&lt;#REF!,1,IF(C4&lt;#REF!,2,IF(C4&lt;#REF!,3,IF(C4&lt;#REF!,4,IF(C4&lt;#REF!,5,IF(C4&lt;#REF!,6,IF(C4&lt;#REF!,7,IF(C4&lt;#REF!,8,IF(C4&lt;#REF!,9,IF(C4&lt;#REF!,10,IF(C4&lt;#REF!,11,IF(C4&lt;=#REF!,12,0)))))))))))))</f>
        <v>#REF!</v>
      </c>
      <c r="O4" s="135"/>
    </row>
    <row r="5" spans="1:15" s="591" customFormat="1" ht="10.15">
      <c r="C5" s="838" t="s">
        <v>324</v>
      </c>
      <c r="D5" s="839" t="s">
        <v>325</v>
      </c>
      <c r="E5" s="840"/>
      <c r="F5" s="841" t="s">
        <v>326</v>
      </c>
      <c r="G5" s="842" t="s">
        <v>327</v>
      </c>
      <c r="H5" s="843" t="s">
        <v>283</v>
      </c>
      <c r="I5" s="842" t="s">
        <v>328</v>
      </c>
      <c r="J5" s="592" t="s">
        <v>329</v>
      </c>
      <c r="K5" s="830" t="s">
        <v>395</v>
      </c>
      <c r="L5" s="834" t="s">
        <v>425</v>
      </c>
      <c r="M5" s="593"/>
      <c r="N5" s="594"/>
      <c r="O5" s="594"/>
    </row>
    <row r="6" spans="1:15" s="591" customFormat="1" ht="10.15">
      <c r="C6" s="844"/>
      <c r="D6" s="845"/>
      <c r="E6" s="845"/>
      <c r="F6" s="846"/>
      <c r="G6" s="847"/>
      <c r="H6" s="843" t="s">
        <v>283</v>
      </c>
      <c r="I6" s="846"/>
      <c r="J6" s="595" t="s">
        <v>330</v>
      </c>
      <c r="K6" s="831" t="s">
        <v>396</v>
      </c>
      <c r="L6" s="835" t="s">
        <v>394</v>
      </c>
      <c r="M6" s="593"/>
      <c r="N6" s="594"/>
      <c r="O6" s="594"/>
    </row>
    <row r="7" spans="1:15" s="591" customFormat="1" ht="10.15">
      <c r="C7" s="844"/>
      <c r="D7" s="845"/>
      <c r="E7" s="845"/>
      <c r="F7" s="846"/>
      <c r="G7" s="847"/>
      <c r="H7" s="843" t="s">
        <v>283</v>
      </c>
      <c r="I7" s="846"/>
      <c r="J7" s="595" t="s">
        <v>331</v>
      </c>
      <c r="K7" s="832" t="s">
        <v>397</v>
      </c>
      <c r="L7" s="835" t="s">
        <v>393</v>
      </c>
      <c r="M7" s="593"/>
      <c r="N7" s="594"/>
      <c r="O7" s="594"/>
    </row>
    <row r="8" spans="1:15" s="591" customFormat="1" ht="10.15">
      <c r="B8" s="596"/>
      <c r="C8" s="597"/>
      <c r="D8" s="598"/>
      <c r="E8" s="598"/>
      <c r="F8" s="598"/>
      <c r="G8" s="599"/>
      <c r="H8" s="843" t="s">
        <v>283</v>
      </c>
      <c r="I8" s="600"/>
      <c r="J8" s="601" t="s">
        <v>332</v>
      </c>
      <c r="K8" s="837" t="s">
        <v>333</v>
      </c>
      <c r="L8" s="836"/>
      <c r="M8" s="600"/>
      <c r="N8" s="602"/>
    </row>
    <row r="9" spans="1:15" s="591" customFormat="1" ht="3" customHeight="1">
      <c r="B9" s="596"/>
      <c r="C9" s="597"/>
      <c r="D9" s="598"/>
      <c r="E9" s="598"/>
      <c r="F9" s="598"/>
      <c r="G9" s="599"/>
      <c r="H9" s="843"/>
      <c r="I9" s="600"/>
      <c r="J9" s="617"/>
      <c r="K9" s="463"/>
      <c r="L9" s="600"/>
      <c r="M9" s="600"/>
      <c r="N9" s="602"/>
    </row>
    <row r="10" spans="1:15" ht="13.5" customHeight="1">
      <c r="B10" s="13"/>
      <c r="C10" s="603"/>
      <c r="D10" s="1582" t="s">
        <v>334</v>
      </c>
      <c r="E10" s="1582"/>
      <c r="F10" s="1582"/>
      <c r="G10" s="1583"/>
      <c r="H10" s="819" t="s">
        <v>140</v>
      </c>
      <c r="I10" s="1584" t="s">
        <v>335</v>
      </c>
      <c r="J10" s="1585"/>
      <c r="K10" s="1585"/>
      <c r="L10" s="1585"/>
      <c r="M10" s="50"/>
      <c r="N10"/>
      <c r="O10"/>
    </row>
    <row r="11" spans="1:15" ht="13.5" customHeight="1">
      <c r="B11" s="13"/>
      <c r="C11" s="603"/>
      <c r="D11" s="1582" t="s">
        <v>336</v>
      </c>
      <c r="E11" s="1582"/>
      <c r="F11" s="1582"/>
      <c r="G11" s="1583"/>
      <c r="H11" s="820" t="s">
        <v>142</v>
      </c>
      <c r="I11" s="1584"/>
      <c r="J11" s="1585"/>
      <c r="K11" s="1585"/>
      <c r="L11" s="1585"/>
      <c r="M11" s="50"/>
      <c r="N11"/>
      <c r="O11"/>
    </row>
    <row r="12" spans="1:15" ht="13.5" customHeight="1">
      <c r="B12" s="13"/>
      <c r="C12" s="603"/>
      <c r="D12" s="1582" t="s">
        <v>337</v>
      </c>
      <c r="E12" s="1582"/>
      <c r="F12" s="1582"/>
      <c r="G12" s="1583"/>
      <c r="H12" s="820" t="s">
        <v>139</v>
      </c>
      <c r="I12" s="1584"/>
      <c r="J12" s="1585"/>
      <c r="K12" s="1585"/>
      <c r="L12" s="1585"/>
      <c r="M12" s="50"/>
      <c r="N12"/>
      <c r="O12"/>
    </row>
    <row r="13" spans="1:15" ht="13.5" customHeight="1">
      <c r="B13" s="13"/>
      <c r="C13" s="603"/>
      <c r="D13" s="1582" t="s">
        <v>338</v>
      </c>
      <c r="E13" s="1582"/>
      <c r="F13" s="1582"/>
      <c r="G13" s="1583"/>
      <c r="H13" s="820" t="s">
        <v>192</v>
      </c>
      <c r="I13" s="1584"/>
      <c r="J13" s="1585"/>
      <c r="K13" s="1585"/>
      <c r="L13" s="1585"/>
      <c r="M13" s="50"/>
      <c r="N13"/>
      <c r="O13"/>
    </row>
    <row r="14" spans="1:15" ht="15.4">
      <c r="B14" s="13"/>
      <c r="C14" s="1591" t="s">
        <v>339</v>
      </c>
      <c r="D14" s="1591"/>
      <c r="E14" s="1591"/>
      <c r="F14" s="1591"/>
      <c r="G14" s="1591"/>
      <c r="H14" s="1591"/>
      <c r="I14" s="1591"/>
      <c r="J14" s="1591"/>
      <c r="K14" s="1591"/>
      <c r="L14" s="1591"/>
      <c r="M14" s="50"/>
      <c r="N14"/>
      <c r="O14"/>
    </row>
    <row r="15" spans="1:15" ht="15.4">
      <c r="B15" s="13"/>
      <c r="C15" s="1587" t="s">
        <v>426</v>
      </c>
      <c r="D15" s="1587"/>
      <c r="E15" s="1587"/>
      <c r="F15" s="1587"/>
      <c r="G15" s="1587"/>
      <c r="H15" s="1587"/>
      <c r="I15" s="1587"/>
      <c r="J15" s="1587"/>
      <c r="K15" s="1587"/>
      <c r="L15" s="1587"/>
      <c r="M15" s="50"/>
      <c r="N15"/>
      <c r="O15"/>
    </row>
    <row r="16" spans="1:15" ht="12" customHeight="1">
      <c r="B16" s="13"/>
      <c r="C16" s="604"/>
      <c r="D16" s="604"/>
      <c r="E16" s="604"/>
      <c r="F16" s="604"/>
      <c r="G16" s="604"/>
      <c r="H16" s="604"/>
      <c r="I16" s="604"/>
      <c r="J16" s="752" t="s">
        <v>33</v>
      </c>
      <c r="K16" s="753" t="s">
        <v>32</v>
      </c>
      <c r="L16" s="604"/>
      <c r="M16" s="50"/>
      <c r="N16"/>
      <c r="O16"/>
    </row>
    <row r="17" spans="2:15" ht="12" customHeight="1">
      <c r="B17" s="13"/>
      <c r="C17" s="1523" t="s">
        <v>427</v>
      </c>
      <c r="D17" s="1523"/>
      <c r="E17" s="1523"/>
      <c r="F17" s="1523"/>
      <c r="G17" s="1523"/>
      <c r="H17" s="1523"/>
      <c r="I17" s="1524"/>
      <c r="J17" s="750"/>
      <c r="K17" s="751"/>
      <c r="L17" s="604"/>
      <c r="M17" s="50"/>
      <c r="N17"/>
      <c r="O17"/>
    </row>
    <row r="18" spans="2:15" s="605" customFormat="1" ht="5.0999999999999996" customHeight="1">
      <c r="C18" s="606"/>
      <c r="D18" s="606"/>
      <c r="E18" s="606"/>
      <c r="F18" s="607"/>
      <c r="G18" s="608"/>
      <c r="H18" s="457"/>
      <c r="I18" s="609"/>
      <c r="J18" s="609"/>
      <c r="K18" s="458"/>
      <c r="L18" s="610"/>
      <c r="M18" s="398"/>
      <c r="N18" s="611"/>
      <c r="O18" s="611"/>
    </row>
    <row r="19" spans="2:15" s="605" customFormat="1" ht="10.15" customHeight="1">
      <c r="C19" s="603"/>
      <c r="D19" s="603"/>
      <c r="E19" s="603"/>
      <c r="F19" s="612"/>
      <c r="G19" s="398"/>
      <c r="H19" s="459"/>
      <c r="I19" s="613"/>
      <c r="J19" s="613"/>
      <c r="K19" s="460"/>
      <c r="L19" s="614"/>
      <c r="M19" s="398"/>
      <c r="N19" s="611"/>
      <c r="O19" s="611"/>
    </row>
    <row r="20" spans="2:15" ht="12.75" customHeight="1">
      <c r="B20" s="50"/>
      <c r="C20" s="1596" t="s">
        <v>340</v>
      </c>
      <c r="D20" s="1596"/>
      <c r="E20" s="1596"/>
      <c r="F20" s="615"/>
      <c r="G20" s="461"/>
      <c r="H20" s="462"/>
      <c r="I20" s="616"/>
      <c r="J20" s="617"/>
      <c r="K20" s="463"/>
      <c r="L20" s="618"/>
      <c r="M20" s="619"/>
      <c r="N20" s="620"/>
      <c r="O20" s="50"/>
    </row>
    <row r="21" spans="2:15" ht="5.0999999999999996" customHeight="1" thickBot="1">
      <c r="B21" s="50"/>
      <c r="C21" s="621"/>
      <c r="D21" s="622"/>
      <c r="E21" s="764"/>
      <c r="F21" s="623"/>
      <c r="G21" s="464"/>
      <c r="H21" s="465"/>
      <c r="I21" s="624"/>
      <c r="J21" s="625"/>
      <c r="K21" s="466"/>
      <c r="L21" s="626"/>
      <c r="M21" s="627"/>
      <c r="N21" s="628"/>
      <c r="O21" s="50"/>
    </row>
    <row r="22" spans="2:15" ht="23.1" customHeight="1" thickTop="1" thickBot="1">
      <c r="B22" s="72"/>
      <c r="C22" s="629" t="s">
        <v>321</v>
      </c>
      <c r="D22" s="1597" t="s">
        <v>341</v>
      </c>
      <c r="E22" s="1598"/>
      <c r="F22" s="1599"/>
      <c r="G22" s="1599"/>
      <c r="H22" s="1599"/>
      <c r="I22" s="1600" t="s">
        <v>424</v>
      </c>
      <c r="J22" s="1600"/>
      <c r="K22" s="1601"/>
      <c r="L22" s="821" t="s">
        <v>8</v>
      </c>
      <c r="M22" s="492"/>
      <c r="N22" s="492"/>
      <c r="O22" s="134"/>
    </row>
    <row r="23" spans="2:15" ht="14.25" customHeight="1" thickTop="1">
      <c r="B23" s="72" t="s">
        <v>5</v>
      </c>
      <c r="C23" s="581" t="s">
        <v>1</v>
      </c>
      <c r="D23" s="1593" t="s">
        <v>6</v>
      </c>
      <c r="E23" s="1594"/>
      <c r="F23" s="1595"/>
      <c r="G23" s="584" t="s">
        <v>7</v>
      </c>
      <c r="H23" s="585" t="s">
        <v>4</v>
      </c>
      <c r="I23" s="585" t="s">
        <v>31</v>
      </c>
      <c r="J23" s="586" t="s">
        <v>33</v>
      </c>
      <c r="K23" s="587" t="s">
        <v>32</v>
      </c>
      <c r="L23" s="588" t="s">
        <v>181</v>
      </c>
      <c r="M23" s="199">
        <v>0</v>
      </c>
      <c r="N23" s="65" t="s">
        <v>5</v>
      </c>
      <c r="O23" s="135"/>
    </row>
    <row r="24" spans="2:15" ht="12.75" customHeight="1">
      <c r="B24" s="50" t="s">
        <v>5</v>
      </c>
      <c r="C24" s="630"/>
      <c r="D24" s="1588" t="s">
        <v>270</v>
      </c>
      <c r="E24" s="1589"/>
      <c r="F24" s="824" t="s">
        <v>254</v>
      </c>
      <c r="G24" s="467" t="s">
        <v>169</v>
      </c>
      <c r="H24" s="468" t="s">
        <v>168</v>
      </c>
      <c r="I24" s="822"/>
      <c r="J24" s="631"/>
      <c r="K24" s="469"/>
      <c r="L24" s="632" t="str">
        <f t="shared" ref="L24" si="0">IF(I24&lt;&gt;0,+I24-K24,"")</f>
        <v/>
      </c>
      <c r="M24" s="633">
        <v>1</v>
      </c>
      <c r="N24" s="634" t="e">
        <f>IF(C24&lt;#REF!,0,IF(C24&lt;#REF!,1,IF(C24&lt;#REF!,2,IF(C24&lt;#REF!,3,IF(C24&lt;#REF!,4,IF(C24&lt;#REF!,5,IF(C24&lt;#REF!,6,IF(C24&lt;#REF!,7,IF(C24&lt;#REF!,8,IF(C24&lt;#REF!,9,IF(C24&lt;#REF!,10,IF(C24&lt;#REF!,11,IF(C24&lt;=#REF!,12,0)))))))))))))</f>
        <v>#REF!</v>
      </c>
      <c r="O24" s="135"/>
    </row>
    <row r="25" spans="2:15" s="635" customFormat="1" ht="10.15">
      <c r="C25" s="848" t="s">
        <v>342</v>
      </c>
      <c r="D25" s="1590" t="s">
        <v>343</v>
      </c>
      <c r="E25" s="1590"/>
      <c r="F25" s="850" t="s">
        <v>283</v>
      </c>
      <c r="G25" s="1586" t="s">
        <v>344</v>
      </c>
      <c r="H25" s="1586"/>
      <c r="I25" s="1549" t="s">
        <v>428</v>
      </c>
      <c r="J25" s="1549"/>
      <c r="K25" s="1549"/>
      <c r="L25" s="1549"/>
      <c r="M25" s="636"/>
      <c r="N25" s="637"/>
      <c r="O25" s="637"/>
    </row>
    <row r="26" spans="2:15" s="635" customFormat="1" ht="10.15">
      <c r="C26" s="849"/>
      <c r="D26" s="1571" t="s">
        <v>345</v>
      </c>
      <c r="E26" s="1571"/>
      <c r="F26" s="1575" t="s">
        <v>429</v>
      </c>
      <c r="G26" s="1575"/>
      <c r="H26" s="1575"/>
      <c r="I26" s="1575"/>
      <c r="J26" s="851"/>
      <c r="K26" s="852"/>
      <c r="L26" s="853"/>
      <c r="M26" s="636"/>
      <c r="N26" s="637"/>
      <c r="O26" s="637"/>
    </row>
    <row r="27" spans="2:15" s="605" customFormat="1" ht="10.15" customHeight="1">
      <c r="C27" s="606"/>
      <c r="D27" s="606"/>
      <c r="E27" s="606"/>
      <c r="F27" s="607"/>
      <c r="G27" s="608"/>
      <c r="H27" s="457"/>
      <c r="I27" s="609"/>
      <c r="J27" s="609"/>
      <c r="K27" s="458"/>
      <c r="L27" s="610"/>
      <c r="M27" s="398"/>
      <c r="N27" s="611"/>
      <c r="O27" s="611"/>
    </row>
    <row r="28" spans="2:15" s="605" customFormat="1" ht="10.15" customHeight="1" thickBot="1">
      <c r="C28" s="603"/>
      <c r="D28" s="603"/>
      <c r="E28" s="603"/>
      <c r="F28" s="638"/>
      <c r="G28" s="639"/>
      <c r="H28" s="470"/>
      <c r="I28" s="640"/>
      <c r="J28" s="640"/>
      <c r="K28" s="471"/>
      <c r="L28" s="641"/>
      <c r="M28" s="398"/>
      <c r="N28" s="611"/>
      <c r="O28" s="611"/>
    </row>
    <row r="29" spans="2:15" ht="23.1" customHeight="1" thickTop="1" thickBot="1">
      <c r="B29" s="37"/>
      <c r="C29" s="642" t="s">
        <v>275</v>
      </c>
      <c r="D29" s="1576" t="s">
        <v>256</v>
      </c>
      <c r="E29" s="1577"/>
      <c r="F29" s="1577"/>
      <c r="G29" s="1577"/>
      <c r="H29" s="1577"/>
      <c r="I29" s="1578" t="s">
        <v>424</v>
      </c>
      <c r="J29" s="1578"/>
      <c r="K29" s="1579"/>
      <c r="L29" s="823" t="s">
        <v>8</v>
      </c>
      <c r="M29" s="225"/>
      <c r="N29" s="225"/>
      <c r="O29" s="409"/>
    </row>
    <row r="30" spans="2:15" s="96" customFormat="1" ht="15" customHeight="1" thickTop="1" thickBot="1">
      <c r="B30" s="72" t="s">
        <v>172</v>
      </c>
      <c r="C30" s="643"/>
      <c r="G30" s="644"/>
      <c r="H30" s="645" t="s">
        <v>297</v>
      </c>
      <c r="J30" s="646"/>
      <c r="K30" s="472"/>
      <c r="L30" s="647"/>
      <c r="M30" s="648"/>
      <c r="N30" s="648"/>
      <c r="O30" s="409"/>
    </row>
    <row r="31" spans="2:15" ht="12.95" customHeight="1" thickTop="1">
      <c r="B31" s="411" t="s">
        <v>172</v>
      </c>
      <c r="C31" s="854"/>
      <c r="D31" s="1570" t="s">
        <v>346</v>
      </c>
      <c r="E31" s="1570"/>
      <c r="F31" s="1570"/>
      <c r="G31" s="1570"/>
      <c r="H31" s="825">
        <v>45724</v>
      </c>
      <c r="I31" s="13"/>
      <c r="J31" s="613"/>
      <c r="K31" s="460"/>
      <c r="L31" s="614"/>
      <c r="M31" s="225"/>
      <c r="N31" s="225"/>
      <c r="O31" s="409"/>
    </row>
    <row r="32" spans="2:15" ht="12.95" customHeight="1">
      <c r="B32" s="411" t="s">
        <v>172</v>
      </c>
      <c r="C32" s="1570" t="s">
        <v>347</v>
      </c>
      <c r="D32" s="1570"/>
      <c r="E32" s="1570"/>
      <c r="F32" s="1570"/>
      <c r="G32" s="1570"/>
      <c r="H32" s="826">
        <v>0</v>
      </c>
      <c r="I32" s="13"/>
      <c r="J32" s="613"/>
      <c r="K32" s="460"/>
      <c r="L32" s="614"/>
      <c r="M32" s="225"/>
      <c r="N32" s="225"/>
      <c r="O32" s="409"/>
    </row>
    <row r="33" spans="2:15" ht="4.5" customHeight="1" thickBot="1">
      <c r="B33" s="411" t="s">
        <v>172</v>
      </c>
      <c r="C33" s="67"/>
      <c r="D33" s="38"/>
      <c r="E33" s="38"/>
      <c r="F33" s="38"/>
      <c r="G33" s="38"/>
      <c r="H33" s="68"/>
      <c r="I33" s="426"/>
      <c r="J33" s="70"/>
      <c r="K33" s="71"/>
      <c r="L33" s="70"/>
      <c r="M33" s="225"/>
      <c r="N33" s="225"/>
      <c r="O33" s="409"/>
    </row>
    <row r="34" spans="2:15" ht="12" customHeight="1" thickTop="1">
      <c r="B34" s="411" t="s">
        <v>172</v>
      </c>
      <c r="C34" s="776" t="s">
        <v>145</v>
      </c>
      <c r="D34" s="1551" t="s">
        <v>263</v>
      </c>
      <c r="E34" s="1552"/>
      <c r="F34" s="1552"/>
      <c r="G34" s="1556">
        <v>0</v>
      </c>
      <c r="H34" s="1558" t="s">
        <v>348</v>
      </c>
      <c r="I34" s="1559"/>
      <c r="J34" s="1377"/>
      <c r="K34" s="1562"/>
      <c r="L34" s="1340"/>
      <c r="M34" s="225"/>
      <c r="N34" s="225"/>
      <c r="O34" s="409"/>
    </row>
    <row r="35" spans="2:15" ht="12" customHeight="1" thickBot="1">
      <c r="B35" s="411" t="s">
        <v>172</v>
      </c>
      <c r="C35" s="777" t="s">
        <v>140</v>
      </c>
      <c r="D35" s="1553"/>
      <c r="E35" s="1554"/>
      <c r="F35" s="1555"/>
      <c r="G35" s="1557"/>
      <c r="H35" s="1560"/>
      <c r="I35" s="1561"/>
      <c r="J35" s="1379"/>
      <c r="K35" s="1563"/>
      <c r="L35" s="1341"/>
      <c r="M35" s="225"/>
      <c r="N35" s="225"/>
      <c r="O35" s="409"/>
    </row>
    <row r="36" spans="2:15" ht="10.15" customHeight="1" thickTop="1">
      <c r="B36" s="412" t="s">
        <v>160</v>
      </c>
      <c r="C36" s="67"/>
      <c r="D36" s="38"/>
      <c r="E36" s="38"/>
      <c r="F36" s="38"/>
      <c r="G36" s="38"/>
      <c r="H36" s="68"/>
      <c r="I36" s="69"/>
      <c r="J36" s="70"/>
      <c r="K36" s="71"/>
      <c r="L36" s="70"/>
      <c r="M36" s="225"/>
      <c r="N36" s="225"/>
      <c r="O36" s="409"/>
    </row>
    <row r="37" spans="2:15" ht="13.15" thickBot="1">
      <c r="B37" s="412"/>
      <c r="C37" s="649" t="s">
        <v>349</v>
      </c>
      <c r="D37" s="38"/>
      <c r="E37" s="38"/>
      <c r="F37" s="38"/>
      <c r="G37" s="38"/>
      <c r="H37" s="68"/>
      <c r="I37" s="69"/>
      <c r="J37" s="70"/>
      <c r="K37" s="71"/>
      <c r="L37" s="70"/>
      <c r="M37" s="225"/>
      <c r="N37" s="225"/>
      <c r="O37" s="409"/>
    </row>
    <row r="38" spans="2:15" ht="14.1" customHeight="1" thickTop="1" thickBot="1">
      <c r="B38" s="412" t="s">
        <v>160</v>
      </c>
      <c r="C38" s="769" t="s">
        <v>1</v>
      </c>
      <c r="D38" s="768" t="s">
        <v>258</v>
      </c>
      <c r="E38" s="1564" t="s">
        <v>398</v>
      </c>
      <c r="F38" s="1565"/>
      <c r="G38" s="774" t="s">
        <v>350</v>
      </c>
      <c r="H38" s="775" t="s">
        <v>4</v>
      </c>
      <c r="I38" s="650" t="s">
        <v>1</v>
      </c>
      <c r="J38" s="1572" t="s">
        <v>156</v>
      </c>
      <c r="K38" s="1573"/>
      <c r="L38" s="651" t="s">
        <v>155</v>
      </c>
      <c r="M38" s="225"/>
      <c r="N38" s="225"/>
      <c r="O38" s="409"/>
    </row>
    <row r="39" spans="2:15" s="66" customFormat="1" ht="12" customHeight="1" thickTop="1">
      <c r="B39" s="412"/>
      <c r="C39" s="829"/>
      <c r="D39" s="827"/>
      <c r="E39" s="1566" t="s">
        <v>399</v>
      </c>
      <c r="F39" s="1567"/>
      <c r="G39" s="778" t="s">
        <v>400</v>
      </c>
      <c r="H39" s="779" t="s">
        <v>140</v>
      </c>
      <c r="I39" s="828"/>
      <c r="J39" s="1547"/>
      <c r="K39" s="1548"/>
      <c r="L39" s="435"/>
      <c r="M39" s="652" t="e">
        <f>IF(C39&lt;#REF!,0,IF(C39&lt;#REF!,1,IF(C39&lt;#REF!,2,IF(C39&lt;#REF!,3,IF(C39&lt;#REF!,4,IF(C39&lt;#REF!,5,IF(C39&lt;#REF!,6,IF(C39&lt;#REF!,7,IF(C39&lt;#REF!,8,IF(C39&lt;#REF!,9,IF(C39&lt;#REF!,10,IF(C39&lt;#REF!,11,IF(C39&lt;=#REF!,12,0)))))))))))))</f>
        <v>#REF!</v>
      </c>
      <c r="N39" s="652" t="e">
        <f>IF(I39&lt;#REF!,0,IF(I39&lt;#REF!,1,IF(I39&lt;#REF!,2,IF(I39&lt;#REF!,3,IF(I39&lt;#REF!,4,IF(I39&lt;#REF!,5,IF(I39&lt;#REF!,6,IF(I39&lt;#REF!,7,IF(I39&lt;#REF!,8,IF(I39&lt;#REF!,9,IF(I39&lt;#REF!,10,IF(I39&lt;#REF!,11,IF(I39&lt;=#REF!,12,0)))))))))))))</f>
        <v>#REF!</v>
      </c>
      <c r="O39" s="409"/>
    </row>
    <row r="40" spans="2:15" s="635" customFormat="1" ht="12" customHeight="1">
      <c r="C40" s="855" t="s">
        <v>402</v>
      </c>
      <c r="D40" s="1569" t="s">
        <v>405</v>
      </c>
      <c r="E40" s="1569"/>
      <c r="F40" s="1569"/>
      <c r="G40" s="1569"/>
      <c r="H40" s="856" t="s">
        <v>404</v>
      </c>
      <c r="I40" s="857" t="s">
        <v>401</v>
      </c>
      <c r="J40" s="1549" t="s">
        <v>351</v>
      </c>
      <c r="K40" s="1549"/>
      <c r="L40" s="1549"/>
      <c r="M40" s="636"/>
      <c r="N40" s="637"/>
      <c r="O40" s="637"/>
    </row>
    <row r="41" spans="2:15" s="591" customFormat="1" ht="10.15">
      <c r="B41" s="593"/>
      <c r="C41" s="1568" t="s">
        <v>403</v>
      </c>
      <c r="D41" s="1568"/>
      <c r="E41" s="1568"/>
      <c r="F41" s="1568"/>
      <c r="G41" s="1568"/>
      <c r="H41" s="1568"/>
      <c r="I41" s="1550" t="s">
        <v>352</v>
      </c>
      <c r="J41" s="1550"/>
      <c r="K41" s="1550"/>
      <c r="L41" s="1550"/>
      <c r="M41" s="653"/>
      <c r="N41" s="654"/>
      <c r="O41" s="593"/>
    </row>
    <row r="42" spans="2:15" ht="5.0999999999999996" customHeight="1" thickBot="1">
      <c r="B42" s="13"/>
      <c r="C42" s="655"/>
      <c r="D42" s="655"/>
      <c r="E42" s="655"/>
      <c r="F42" s="655"/>
      <c r="G42" s="655"/>
      <c r="H42" s="656"/>
      <c r="I42" s="657"/>
      <c r="J42" s="655"/>
      <c r="K42" s="655"/>
      <c r="L42" s="655"/>
      <c r="M42" s="658"/>
      <c r="N42" s="655"/>
      <c r="O42" s="593"/>
    </row>
    <row r="43" spans="2:15" ht="5.0999999999999996" customHeight="1">
      <c r="B43" s="13"/>
      <c r="C43" s="13"/>
      <c r="D43" s="13"/>
      <c r="E43" s="13"/>
      <c r="F43" s="13"/>
      <c r="G43" s="13"/>
      <c r="H43" s="25"/>
      <c r="I43" s="659"/>
      <c r="J43" s="13"/>
      <c r="K43" s="13"/>
      <c r="L43" s="13"/>
      <c r="M43" s="660"/>
      <c r="N43" s="13"/>
      <c r="O43" s="593"/>
    </row>
    <row r="44" spans="2:15" ht="20.65">
      <c r="B44" s="13"/>
      <c r="C44" s="661" t="s">
        <v>353</v>
      </c>
      <c r="D44" s="661"/>
      <c r="E44" s="661"/>
      <c r="F44" s="661"/>
      <c r="G44" s="13"/>
      <c r="H44" s="13"/>
      <c r="I44" s="13"/>
      <c r="J44" s="13"/>
      <c r="K44" s="13"/>
      <c r="L44" s="13"/>
      <c r="M44" s="660"/>
      <c r="N44" s="660"/>
      <c r="O44" s="593"/>
    </row>
    <row r="45" spans="2:15" ht="12" customHeight="1">
      <c r="B45" s="13"/>
      <c r="C45" s="1533" t="s">
        <v>354</v>
      </c>
      <c r="D45" s="1533"/>
      <c r="E45" s="1533"/>
      <c r="F45" s="1533"/>
      <c r="G45" s="1533"/>
      <c r="H45" s="1533"/>
      <c r="I45" s="13"/>
      <c r="J45" s="13"/>
      <c r="K45" s="13"/>
      <c r="L45" s="13"/>
      <c r="M45" s="660"/>
      <c r="N45" s="660"/>
      <c r="O45" s="593"/>
    </row>
    <row r="46" spans="2:15" ht="13.5" thickBot="1">
      <c r="B46" s="13"/>
      <c r="C46" s="1533" t="s">
        <v>355</v>
      </c>
      <c r="D46" s="1533"/>
      <c r="E46" s="1533"/>
      <c r="F46" s="1533"/>
      <c r="G46" s="1536"/>
      <c r="H46" s="1536"/>
      <c r="I46" s="1536"/>
      <c r="J46" s="1537"/>
      <c r="K46" s="1537"/>
      <c r="L46" s="1537"/>
      <c r="M46" s="1537"/>
      <c r="N46" s="1537"/>
      <c r="O46" s="1537"/>
    </row>
    <row r="47" spans="2:15" ht="16.149999999999999" customHeight="1" thickTop="1" thickBot="1">
      <c r="B47" s="391" t="s">
        <v>283</v>
      </c>
      <c r="C47" s="861" t="s">
        <v>356</v>
      </c>
      <c r="D47" s="1545" t="s">
        <v>430</v>
      </c>
      <c r="E47" s="1545"/>
      <c r="F47" s="1545"/>
      <c r="G47" s="1546" t="s">
        <v>431</v>
      </c>
      <c r="H47" s="1546"/>
      <c r="I47" s="1546"/>
      <c r="J47" s="473"/>
      <c r="K47" s="665"/>
      <c r="L47" s="666"/>
      <c r="M47" s="201">
        <v>0</v>
      </c>
      <c r="N47" s="667" t="s">
        <v>5</v>
      </c>
      <c r="O47" s="398" t="s">
        <v>283</v>
      </c>
    </row>
    <row r="48" spans="2:15" ht="5.0999999999999996" customHeight="1" thickTop="1">
      <c r="B48" s="13"/>
      <c r="C48" s="662"/>
      <c r="D48" s="662"/>
      <c r="E48" s="662"/>
      <c r="F48" s="662"/>
      <c r="G48" s="663"/>
      <c r="H48" s="663"/>
      <c r="I48" s="663"/>
      <c r="J48" s="664"/>
      <c r="K48" s="664"/>
      <c r="L48" s="664"/>
      <c r="M48" s="664"/>
      <c r="N48" s="664"/>
      <c r="O48" s="664"/>
    </row>
    <row r="49" spans="2:15" ht="13.15">
      <c r="B49" s="13"/>
      <c r="C49" s="1531" t="s">
        <v>357</v>
      </c>
      <c r="D49" s="1531"/>
      <c r="E49" s="1531"/>
      <c r="F49" s="1531"/>
      <c r="G49" s="1531"/>
      <c r="H49" s="1531"/>
      <c r="I49" s="1531"/>
      <c r="J49" s="13"/>
      <c r="K49" s="13"/>
      <c r="L49" s="13"/>
      <c r="M49" s="660"/>
      <c r="N49" s="660"/>
      <c r="O49" s="660"/>
    </row>
    <row r="50" spans="2:15" ht="12.75" customHeight="1">
      <c r="B50" s="50"/>
      <c r="C50" s="668"/>
      <c r="D50" s="669"/>
      <c r="E50" s="765"/>
      <c r="F50" s="670"/>
      <c r="G50" s="474"/>
      <c r="H50" s="475"/>
      <c r="I50" s="671"/>
      <c r="J50" s="672"/>
      <c r="K50" s="476"/>
      <c r="L50" s="673"/>
      <c r="M50" s="633"/>
      <c r="N50" s="634"/>
      <c r="O50" s="135"/>
    </row>
    <row r="51" spans="2:15" ht="13.15">
      <c r="B51" s="674"/>
      <c r="C51" s="675"/>
      <c r="D51" s="676"/>
      <c r="E51" s="766"/>
      <c r="F51" s="677"/>
      <c r="G51" s="477"/>
      <c r="H51" s="478"/>
      <c r="I51" s="678"/>
      <c r="J51" s="679"/>
      <c r="K51" s="479"/>
      <c r="L51" s="858" t="s">
        <v>358</v>
      </c>
      <c r="M51" s="680"/>
      <c r="N51" s="681"/>
      <c r="O51" s="674"/>
    </row>
    <row r="52" spans="2:15" ht="13.5" thickBot="1">
      <c r="B52" s="50"/>
      <c r="C52" s="682"/>
      <c r="D52" s="683"/>
      <c r="E52" s="683"/>
      <c r="F52" s="615"/>
      <c r="G52" s="461"/>
      <c r="H52" s="462"/>
      <c r="I52" s="616"/>
      <c r="J52" s="617"/>
      <c r="K52" s="466"/>
      <c r="L52" s="859" t="s">
        <v>358</v>
      </c>
      <c r="M52" s="680"/>
      <c r="N52" s="681"/>
      <c r="O52" s="50"/>
    </row>
    <row r="53" spans="2:15" s="96" customFormat="1" ht="10.5" thickTop="1">
      <c r="B53" s="684" t="s">
        <v>283</v>
      </c>
      <c r="C53" s="1532" t="s">
        <v>359</v>
      </c>
      <c r="D53" s="1532"/>
      <c r="E53" s="685"/>
      <c r="F53" s="686"/>
      <c r="G53" s="480"/>
      <c r="H53" s="687"/>
      <c r="I53" s="687"/>
      <c r="J53" s="481"/>
      <c r="K53" s="688"/>
      <c r="L53" s="689"/>
      <c r="M53" s="690">
        <v>0</v>
      </c>
      <c r="N53" s="691" t="s">
        <v>5</v>
      </c>
      <c r="O53" s="692" t="s">
        <v>283</v>
      </c>
    </row>
    <row r="54" spans="2:15" ht="12" customHeight="1">
      <c r="B54" s="13"/>
      <c r="C54" s="1533" t="s">
        <v>360</v>
      </c>
      <c r="D54" s="1533"/>
      <c r="E54" s="1533"/>
      <c r="F54" s="1533"/>
      <c r="G54" s="1533"/>
      <c r="H54" s="1533"/>
      <c r="I54" s="1533"/>
      <c r="J54" s="1533"/>
      <c r="K54" s="1533"/>
      <c r="L54" s="1533"/>
      <c r="M54" s="660"/>
      <c r="N54" s="660"/>
      <c r="O54" s="660"/>
    </row>
    <row r="55" spans="2:15" s="694" customFormat="1" ht="12" customHeight="1" thickBot="1">
      <c r="B55" s="693"/>
      <c r="C55" s="1534" t="s">
        <v>432</v>
      </c>
      <c r="D55" s="1534"/>
      <c r="E55" s="1534"/>
      <c r="F55" s="1534"/>
      <c r="G55" s="1534"/>
      <c r="H55" s="1534"/>
      <c r="I55" s="1534"/>
      <c r="J55" s="1534"/>
      <c r="K55" s="1534"/>
      <c r="L55" s="1534"/>
      <c r="M55" s="1534"/>
      <c r="N55" s="1534"/>
      <c r="O55" s="1534"/>
    </row>
    <row r="56" spans="2:15" ht="12.75" customHeight="1" thickBot="1">
      <c r="B56" s="695"/>
      <c r="C56" s="696"/>
      <c r="D56" s="697"/>
      <c r="E56" s="767"/>
      <c r="F56" s="698"/>
      <c r="G56" s="482"/>
      <c r="H56" s="483"/>
      <c r="I56" s="699"/>
      <c r="J56" s="700"/>
      <c r="K56" s="484"/>
      <c r="L56" s="701"/>
      <c r="M56" s="702"/>
      <c r="N56" s="703"/>
      <c r="O56" s="704"/>
    </row>
    <row r="57" spans="2:15" ht="13.15">
      <c r="B57" s="674"/>
      <c r="C57" s="705"/>
      <c r="D57" s="706"/>
      <c r="E57" s="706"/>
      <c r="F57" s="707"/>
      <c r="G57" s="485"/>
      <c r="H57" s="486"/>
      <c r="I57" s="708"/>
      <c r="J57" s="709"/>
      <c r="K57" s="487"/>
      <c r="L57" s="860" t="s">
        <v>358</v>
      </c>
      <c r="M57" s="680"/>
      <c r="N57" s="681"/>
      <c r="O57" s="674"/>
    </row>
    <row r="58" spans="2:15" ht="13.5" thickBot="1">
      <c r="B58" s="50"/>
      <c r="C58" s="682"/>
      <c r="D58" s="683"/>
      <c r="E58" s="683"/>
      <c r="F58" s="615"/>
      <c r="G58" s="461"/>
      <c r="H58" s="462"/>
      <c r="I58" s="616"/>
      <c r="J58" s="617"/>
      <c r="K58" s="466"/>
      <c r="L58" s="859" t="s">
        <v>358</v>
      </c>
      <c r="M58" s="680"/>
      <c r="N58" s="681"/>
      <c r="O58" s="50"/>
    </row>
    <row r="59" spans="2:15" s="96" customFormat="1" ht="10.5" thickTop="1">
      <c r="B59" s="684" t="s">
        <v>283</v>
      </c>
      <c r="C59" s="1532" t="s">
        <v>359</v>
      </c>
      <c r="D59" s="1532"/>
      <c r="E59" s="685"/>
      <c r="F59" s="686"/>
      <c r="G59" s="480"/>
      <c r="H59" s="687"/>
      <c r="I59" s="687"/>
      <c r="J59" s="481"/>
      <c r="K59" s="688"/>
      <c r="L59" s="689"/>
      <c r="M59" s="690">
        <v>0</v>
      </c>
      <c r="N59" s="691" t="s">
        <v>5</v>
      </c>
      <c r="O59" s="692" t="s">
        <v>283</v>
      </c>
    </row>
    <row r="60" spans="2:15">
      <c r="B60" s="13"/>
      <c r="C60" s="1535" t="s">
        <v>433</v>
      </c>
      <c r="D60" s="1535"/>
      <c r="E60" s="1535"/>
      <c r="F60" s="1535"/>
      <c r="G60" s="1535"/>
      <c r="H60" s="1535"/>
      <c r="I60" s="1535"/>
      <c r="J60" s="1535"/>
      <c r="K60" s="1535"/>
      <c r="L60" s="1535"/>
      <c r="M60" s="710"/>
      <c r="N60" s="710"/>
      <c r="O60" s="710"/>
    </row>
    <row r="61" spans="2:15" ht="3" customHeight="1" thickBot="1">
      <c r="B61" s="13"/>
      <c r="C61" s="664"/>
      <c r="D61" s="664"/>
      <c r="E61" s="664"/>
      <c r="F61" s="664"/>
      <c r="G61" s="664"/>
      <c r="H61" s="664"/>
      <c r="I61" s="664"/>
      <c r="J61" s="664"/>
      <c r="K61" s="664"/>
      <c r="L61" s="664"/>
      <c r="M61" s="664"/>
      <c r="N61" s="664"/>
      <c r="O61" s="664"/>
    </row>
    <row r="62" spans="2:15" ht="8.1" customHeight="1" thickTop="1" thickBot="1">
      <c r="B62" s="391"/>
      <c r="C62" s="711"/>
      <c r="D62" s="712"/>
      <c r="E62" s="712"/>
      <c r="F62" s="713"/>
      <c r="G62" s="488"/>
      <c r="H62" s="714"/>
      <c r="I62" s="714"/>
      <c r="J62" s="489"/>
      <c r="K62" s="715"/>
      <c r="L62" s="716"/>
      <c r="M62" s="201"/>
      <c r="N62" s="667"/>
      <c r="O62" s="398"/>
    </row>
    <row r="63" spans="2:15" ht="8.1" customHeight="1" thickTop="1" thickBot="1">
      <c r="B63" s="391"/>
      <c r="C63" s="13"/>
      <c r="D63" s="717"/>
      <c r="E63" s="717"/>
      <c r="F63" s="718"/>
      <c r="G63" s="490"/>
      <c r="H63" s="719"/>
      <c r="I63" s="719"/>
      <c r="J63" s="491"/>
      <c r="K63" s="720"/>
      <c r="L63" s="721"/>
      <c r="M63" s="201"/>
      <c r="N63" s="667"/>
      <c r="O63" s="398"/>
    </row>
    <row r="64" spans="2:15" ht="14.65" thickTop="1" thickBot="1">
      <c r="B64" s="391"/>
      <c r="C64" s="1525" t="s">
        <v>361</v>
      </c>
      <c r="D64" s="1525"/>
      <c r="E64" s="649"/>
      <c r="F64" s="398"/>
      <c r="G64" s="459"/>
      <c r="H64" s="613"/>
      <c r="I64" s="613"/>
      <c r="J64" s="460"/>
      <c r="L64" s="614"/>
      <c r="M64" s="722"/>
      <c r="N64" s="723"/>
      <c r="O64" s="398"/>
    </row>
    <row r="65" spans="2:15" ht="14.1" customHeight="1" thickTop="1" thickBot="1">
      <c r="B65" s="390">
        <f>COUNTBLANK(B3:B63)+B66</f>
        <v>46</v>
      </c>
      <c r="C65" s="724" t="s">
        <v>63</v>
      </c>
      <c r="D65" s="1526" t="s">
        <v>362</v>
      </c>
      <c r="E65" s="1527"/>
      <c r="F65" s="1527"/>
      <c r="G65" s="1527"/>
      <c r="H65" s="1527"/>
      <c r="I65" s="1527"/>
      <c r="J65" s="1527"/>
      <c r="K65" s="1528"/>
      <c r="L65" s="1529" t="s">
        <v>434</v>
      </c>
      <c r="M65" s="1538" t="s">
        <v>363</v>
      </c>
      <c r="N65" s="1538" t="s">
        <v>363</v>
      </c>
      <c r="O65" s="135" t="s">
        <v>5</v>
      </c>
    </row>
    <row r="66" spans="2:15" ht="14.1" customHeight="1" thickTop="1" thickBot="1">
      <c r="B66" s="390">
        <f>IF(ISERROR(L63),1,0)</f>
        <v>0</v>
      </c>
      <c r="C66" s="725" t="s">
        <v>364</v>
      </c>
      <c r="D66" s="1540" t="s">
        <v>365</v>
      </c>
      <c r="E66" s="1541"/>
      <c r="F66" s="1542"/>
      <c r="G66" s="1543"/>
      <c r="H66" s="1543"/>
      <c r="I66" s="1544"/>
      <c r="J66" s="1544"/>
      <c r="K66" s="1544"/>
      <c r="L66" s="1530"/>
      <c r="M66" s="1539"/>
      <c r="N66" s="1539"/>
      <c r="O66" s="135" t="s">
        <v>5</v>
      </c>
    </row>
    <row r="67" spans="2:15" s="15" customFormat="1" ht="5.25" customHeight="1" thickTop="1" thickBot="1">
      <c r="B67" s="72"/>
      <c r="C67" s="2"/>
      <c r="D67" s="3"/>
      <c r="E67" s="3"/>
      <c r="F67" s="3"/>
      <c r="G67" s="1"/>
      <c r="I67" s="16"/>
      <c r="J67" s="16"/>
      <c r="K67" s="17"/>
      <c r="L67" s="18"/>
      <c r="M67" s="18"/>
      <c r="N67" s="31"/>
    </row>
    <row r="68" spans="2:15" ht="5.0999999999999996" customHeight="1" thickTop="1" thickBot="1">
      <c r="B68" s="391"/>
      <c r="C68" s="711"/>
      <c r="D68" s="712"/>
      <c r="E68" s="712"/>
      <c r="F68" s="713"/>
      <c r="G68" s="488"/>
      <c r="H68" s="714"/>
      <c r="I68" s="714"/>
      <c r="J68" s="489"/>
      <c r="K68" s="715"/>
      <c r="L68" s="716"/>
      <c r="M68" s="201"/>
      <c r="N68" s="667"/>
      <c r="O68" s="398"/>
    </row>
    <row r="69" spans="2:15" ht="8.1" customHeight="1" thickTop="1" thickBot="1">
      <c r="B69" s="391"/>
      <c r="C69" s="13"/>
      <c r="D69" s="717"/>
      <c r="E69" s="717"/>
      <c r="F69" s="718"/>
      <c r="G69" s="490"/>
      <c r="H69" s="719"/>
      <c r="I69" s="719"/>
      <c r="J69" s="491"/>
      <c r="K69" s="720"/>
      <c r="L69" s="721"/>
      <c r="M69" s="201"/>
      <c r="N69" s="667"/>
      <c r="O69" s="398"/>
    </row>
    <row r="70" spans="2:15" ht="20.65" customHeight="1" thickTop="1">
      <c r="C70" s="1473" t="s">
        <v>317</v>
      </c>
      <c r="D70" s="1521"/>
      <c r="E70" s="1521"/>
      <c r="F70" s="1521"/>
      <c r="G70" s="1521"/>
      <c r="H70" s="1521"/>
      <c r="I70" s="1521"/>
      <c r="J70" s="1521"/>
      <c r="K70" s="1521"/>
      <c r="L70" s="1522"/>
    </row>
  </sheetData>
  <sheetProtection sheet="1" objects="1" scenarios="1"/>
  <mergeCells count="61">
    <mergeCell ref="D25:E25"/>
    <mergeCell ref="C14:L14"/>
    <mergeCell ref="D4:E4"/>
    <mergeCell ref="D23:F23"/>
    <mergeCell ref="C20:E20"/>
    <mergeCell ref="D22:H22"/>
    <mergeCell ref="I22:K22"/>
    <mergeCell ref="C1:F1"/>
    <mergeCell ref="K1:L1"/>
    <mergeCell ref="F26:I26"/>
    <mergeCell ref="D29:H29"/>
    <mergeCell ref="I29:K29"/>
    <mergeCell ref="D2:H2"/>
    <mergeCell ref="I2:K2"/>
    <mergeCell ref="D10:G10"/>
    <mergeCell ref="I10:L13"/>
    <mergeCell ref="D11:G11"/>
    <mergeCell ref="D12:G12"/>
    <mergeCell ref="D13:G13"/>
    <mergeCell ref="G25:H25"/>
    <mergeCell ref="I25:L25"/>
    <mergeCell ref="C15:L15"/>
    <mergeCell ref="D24:E24"/>
    <mergeCell ref="D31:G31"/>
    <mergeCell ref="C32:G32"/>
    <mergeCell ref="D26:E26"/>
    <mergeCell ref="L34:L35"/>
    <mergeCell ref="J38:K38"/>
    <mergeCell ref="J39:K39"/>
    <mergeCell ref="J40:L40"/>
    <mergeCell ref="I41:L41"/>
    <mergeCell ref="D34:F35"/>
    <mergeCell ref="G34:G35"/>
    <mergeCell ref="H34:I35"/>
    <mergeCell ref="J34:K35"/>
    <mergeCell ref="E38:F38"/>
    <mergeCell ref="E39:F39"/>
    <mergeCell ref="C41:H41"/>
    <mergeCell ref="D40:G40"/>
    <mergeCell ref="N65:N66"/>
    <mergeCell ref="D66:F66"/>
    <mergeCell ref="G66:H66"/>
    <mergeCell ref="I66:K66"/>
    <mergeCell ref="D47:F47"/>
    <mergeCell ref="G47:I47"/>
    <mergeCell ref="C70:L70"/>
    <mergeCell ref="C17:I17"/>
    <mergeCell ref="C64:D64"/>
    <mergeCell ref="D65:K65"/>
    <mergeCell ref="L65:L66"/>
    <mergeCell ref="C49:I49"/>
    <mergeCell ref="C53:D53"/>
    <mergeCell ref="C54:L54"/>
    <mergeCell ref="C55:O55"/>
    <mergeCell ref="C59:D59"/>
    <mergeCell ref="C60:L60"/>
    <mergeCell ref="C45:H45"/>
    <mergeCell ref="C46:F46"/>
    <mergeCell ref="G46:I46"/>
    <mergeCell ref="J46:O46"/>
    <mergeCell ref="M65:M66"/>
  </mergeCells>
  <printOptions horizontalCentered="1"/>
  <pageMargins left="0" right="0" top="0" bottom="0.31496062992125984" header="0" footer="0"/>
  <pageSetup paperSize="9" orientation="portrait" r:id="rId1"/>
  <headerFooter>
    <oddFooter>&amp;L&amp;"Arial,Standard"&amp;8Datei: &amp;Z&amp;F/&amp;A&amp;R&amp;"Arial,Standard"&amp;8Druck: &amp;D&amp;T Uhr</oddFooter>
  </headerFooter>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B6D8A5-3B29-4D11-BD5B-DB83A3BB7E89}">
  <sheetPr>
    <pageSetUpPr autoPageBreaks="0"/>
  </sheetPr>
  <dimension ref="A1:K58"/>
  <sheetViews>
    <sheetView showGridLines="0" showRowColHeaders="0" zoomScaleNormal="100" workbookViewId="0"/>
  </sheetViews>
  <sheetFormatPr baseColWidth="10" defaultColWidth="9.77734375" defaultRowHeight="13.5"/>
  <cols>
    <col min="1" max="1" width="0.6640625" style="120" customWidth="1"/>
    <col min="2" max="2" width="2.33203125" style="126" customWidth="1"/>
    <col min="3" max="3" width="18.77734375" style="121" customWidth="1"/>
    <col min="4" max="4" width="10.88671875" style="121" customWidth="1"/>
    <col min="5" max="5" width="8.5546875" style="122" customWidth="1"/>
    <col min="6" max="6" width="8.5546875" style="574" customWidth="1"/>
    <col min="7" max="7" width="8.5546875" style="575" customWidth="1"/>
    <col min="8" max="8" width="10.5546875" style="576" customWidth="1"/>
    <col min="9" max="9" width="2.5546875" style="576" customWidth="1"/>
    <col min="10" max="10" width="12.5546875" style="125" customWidth="1"/>
    <col min="11" max="11" width="0.44140625" style="78" customWidth="1"/>
    <col min="12" max="16384" width="9.77734375" style="78"/>
  </cols>
  <sheetData>
    <row r="1" spans="1:10" s="117" customFormat="1" ht="21" customHeight="1" thickBot="1">
      <c r="B1" s="1663" t="s">
        <v>366</v>
      </c>
      <c r="C1" s="1663"/>
      <c r="D1" s="1663"/>
      <c r="E1" s="1663"/>
      <c r="F1" s="785"/>
      <c r="G1" s="785"/>
      <c r="H1" s="786"/>
      <c r="I1" s="1504" t="s">
        <v>413</v>
      </c>
      <c r="J1" s="1504"/>
    </row>
    <row r="2" spans="1:10" s="119" customFormat="1" ht="23.1" customHeight="1" thickTop="1" thickBot="1">
      <c r="A2" s="118"/>
      <c r="B2" s="1658">
        <v>45658</v>
      </c>
      <c r="C2" s="1659"/>
      <c r="D2" s="1580" t="s">
        <v>366</v>
      </c>
      <c r="E2" s="1581"/>
      <c r="F2" s="1581"/>
      <c r="G2" s="1578" t="s">
        <v>424</v>
      </c>
      <c r="H2" s="1578"/>
      <c r="I2" s="1579"/>
      <c r="J2" s="813" t="s">
        <v>8</v>
      </c>
    </row>
    <row r="3" spans="1:10" s="13" customFormat="1" ht="14.1" customHeight="1" thickTop="1" thickBot="1">
      <c r="A3" s="35"/>
      <c r="B3" s="493" t="s">
        <v>146</v>
      </c>
      <c r="C3" s="494" t="s">
        <v>147</v>
      </c>
      <c r="D3" s="495" t="s">
        <v>367</v>
      </c>
      <c r="E3" s="1660" t="s">
        <v>368</v>
      </c>
      <c r="F3" s="1661"/>
      <c r="G3" s="1661"/>
      <c r="H3" s="1661"/>
      <c r="I3" s="1661"/>
      <c r="J3" s="1662"/>
    </row>
    <row r="4" spans="1:10" s="13" customFormat="1" ht="15" customHeight="1" thickTop="1">
      <c r="A4" s="35"/>
      <c r="B4" s="496" t="s">
        <v>146</v>
      </c>
      <c r="C4" s="497" t="s">
        <v>126</v>
      </c>
      <c r="D4" s="862" t="s">
        <v>148</v>
      </c>
      <c r="E4" s="1664" t="s">
        <v>435</v>
      </c>
      <c r="F4" s="1665"/>
      <c r="G4" s="1665"/>
      <c r="H4" s="1665"/>
      <c r="I4" s="1665"/>
      <c r="J4" s="1666"/>
    </row>
    <row r="5" spans="1:10" s="13" customFormat="1" ht="15" customHeight="1">
      <c r="A5" s="35"/>
      <c r="B5" s="498" t="s">
        <v>146</v>
      </c>
      <c r="C5" s="499" t="s">
        <v>127</v>
      </c>
      <c r="D5" s="863">
        <v>50</v>
      </c>
      <c r="E5" s="1667" t="s">
        <v>369</v>
      </c>
      <c r="F5" s="1668"/>
      <c r="G5" s="1668"/>
      <c r="H5" s="1668"/>
      <c r="I5" s="1668"/>
      <c r="J5" s="1669"/>
    </row>
    <row r="6" spans="1:10" s="13" customFormat="1" ht="15" customHeight="1">
      <c r="A6" s="35"/>
      <c r="B6" s="498" t="s">
        <v>146</v>
      </c>
      <c r="C6" s="499" t="s">
        <v>128</v>
      </c>
      <c r="D6" s="864">
        <v>43862</v>
      </c>
      <c r="E6" s="1667" t="s">
        <v>370</v>
      </c>
      <c r="F6" s="1668"/>
      <c r="G6" s="1668"/>
      <c r="H6" s="1668"/>
      <c r="I6" s="1668"/>
      <c r="J6" s="1669"/>
    </row>
    <row r="7" spans="1:10" s="13" customFormat="1" ht="15">
      <c r="A7" s="35"/>
      <c r="B7" s="498" t="s">
        <v>146</v>
      </c>
      <c r="C7" s="499" t="s">
        <v>129</v>
      </c>
      <c r="D7" s="865">
        <v>500000</v>
      </c>
      <c r="E7" s="1667" t="s">
        <v>371</v>
      </c>
      <c r="F7" s="1668"/>
      <c r="G7" s="1668"/>
      <c r="H7" s="1668"/>
      <c r="I7" s="1668"/>
      <c r="J7" s="1669"/>
    </row>
    <row r="8" spans="1:10" s="13" customFormat="1" ht="15" customHeight="1">
      <c r="A8" s="35"/>
      <c r="B8" s="498" t="s">
        <v>146</v>
      </c>
      <c r="C8" s="499" t="s">
        <v>271</v>
      </c>
      <c r="D8" s="865"/>
      <c r="E8" s="1667" t="s">
        <v>372</v>
      </c>
      <c r="F8" s="1668"/>
      <c r="G8" s="1668"/>
      <c r="H8" s="1668"/>
      <c r="I8" s="1668"/>
      <c r="J8" s="1669"/>
    </row>
    <row r="9" spans="1:10" s="13" customFormat="1" ht="15" customHeight="1">
      <c r="A9" s="35"/>
      <c r="B9" s="498" t="s">
        <v>146</v>
      </c>
      <c r="C9" s="499" t="s">
        <v>130</v>
      </c>
      <c r="D9" s="865">
        <v>1</v>
      </c>
      <c r="E9" s="1667" t="s">
        <v>436</v>
      </c>
      <c r="F9" s="1668"/>
      <c r="G9" s="1668"/>
      <c r="H9" s="1668"/>
      <c r="I9" s="1668"/>
      <c r="J9" s="1669"/>
    </row>
    <row r="10" spans="1:10" s="13" customFormat="1" ht="15" customHeight="1">
      <c r="A10" s="35"/>
      <c r="B10" s="498" t="s">
        <v>146</v>
      </c>
      <c r="C10" s="499" t="s">
        <v>131</v>
      </c>
      <c r="D10" s="866">
        <v>0.02</v>
      </c>
      <c r="E10" s="1667" t="s">
        <v>373</v>
      </c>
      <c r="F10" s="1668"/>
      <c r="G10" s="1668"/>
      <c r="H10" s="1668"/>
      <c r="I10" s="1668"/>
      <c r="J10" s="1669"/>
    </row>
    <row r="11" spans="1:10" s="13" customFormat="1" ht="15" customHeight="1">
      <c r="A11" s="35"/>
      <c r="B11" s="498" t="s">
        <v>146</v>
      </c>
      <c r="C11" s="499" t="s">
        <v>132</v>
      </c>
      <c r="D11" s="866" t="s">
        <v>374</v>
      </c>
      <c r="E11" s="1667" t="s">
        <v>437</v>
      </c>
      <c r="F11" s="1668"/>
      <c r="G11" s="1668"/>
      <c r="H11" s="1668"/>
      <c r="I11" s="1668"/>
      <c r="J11" s="1669"/>
    </row>
    <row r="12" spans="1:10" s="13" customFormat="1" ht="15" customHeight="1" thickBot="1">
      <c r="A12" s="35"/>
      <c r="B12" s="500" t="s">
        <v>146</v>
      </c>
      <c r="C12" s="501" t="s">
        <v>134</v>
      </c>
      <c r="D12" s="867">
        <v>62093</v>
      </c>
      <c r="E12" s="1679" t="s">
        <v>375</v>
      </c>
      <c r="F12" s="1680"/>
      <c r="G12" s="1680"/>
      <c r="H12" s="1680"/>
      <c r="I12" s="1680"/>
      <c r="J12" s="1681"/>
    </row>
    <row r="13" spans="1:10" s="13" customFormat="1" ht="5.0999999999999996" customHeight="1" thickTop="1" thickBot="1">
      <c r="A13" s="35"/>
      <c r="B13" s="502"/>
      <c r="C13" s="503"/>
      <c r="D13" s="334">
        <v>0</v>
      </c>
      <c r="E13" s="873" t="e">
        <v>#VALUE!</v>
      </c>
      <c r="F13" s="873"/>
      <c r="G13" s="873"/>
      <c r="H13" s="873"/>
      <c r="I13" s="873"/>
      <c r="J13" s="873"/>
    </row>
    <row r="14" spans="1:10" s="13" customFormat="1" ht="15" customHeight="1" thickTop="1" thickBot="1">
      <c r="A14" s="35"/>
      <c r="B14" s="504" t="s">
        <v>146</v>
      </c>
      <c r="C14" s="505" t="s">
        <v>135</v>
      </c>
      <c r="D14" s="868">
        <v>45000</v>
      </c>
      <c r="E14" s="1682" t="s">
        <v>376</v>
      </c>
      <c r="F14" s="1683"/>
      <c r="G14" s="1683"/>
      <c r="H14" s="1683"/>
      <c r="I14" s="1683"/>
      <c r="J14" s="1684"/>
    </row>
    <row r="15" spans="1:10" ht="5.0999999999999996" customHeight="1" thickTop="1" thickBot="1">
      <c r="B15" s="506"/>
      <c r="C15" s="506"/>
      <c r="E15" s="121"/>
      <c r="F15" s="122"/>
      <c r="G15" s="123"/>
      <c r="H15" s="123"/>
      <c r="I15" s="123"/>
      <c r="J15" s="123"/>
    </row>
    <row r="16" spans="1:10" s="13" customFormat="1" ht="16.149999999999999" customHeight="1" thickTop="1" thickBot="1">
      <c r="A16" s="35"/>
      <c r="B16" s="1629" t="s">
        <v>136</v>
      </c>
      <c r="C16" s="1630"/>
      <c r="D16" s="1633"/>
      <c r="E16" s="1634"/>
      <c r="F16" s="1634"/>
      <c r="G16" s="1634"/>
      <c r="H16" s="1634"/>
      <c r="I16" s="1634"/>
      <c r="J16" s="1635"/>
    </row>
    <row r="17" spans="1:10" s="13" customFormat="1" ht="15" customHeight="1" thickTop="1">
      <c r="A17" s="35"/>
      <c r="B17" s="1631"/>
      <c r="C17" s="1632"/>
      <c r="D17" s="335"/>
      <c r="E17" s="1636"/>
      <c r="F17" s="1637"/>
      <c r="G17" s="1637"/>
      <c r="H17" s="1637"/>
      <c r="I17" s="1637"/>
      <c r="J17" s="1638"/>
    </row>
    <row r="18" spans="1:10" s="13" customFormat="1" ht="15" customHeight="1" thickBot="1">
      <c r="A18" s="35"/>
      <c r="B18" s="500" t="s">
        <v>146</v>
      </c>
      <c r="C18" s="507" t="s">
        <v>377</v>
      </c>
      <c r="D18" s="869"/>
      <c r="E18" s="1672" t="s">
        <v>378</v>
      </c>
      <c r="F18" s="1673"/>
      <c r="G18" s="1673"/>
      <c r="H18" s="1673"/>
      <c r="I18" s="1673"/>
      <c r="J18" s="1674"/>
    </row>
    <row r="19" spans="1:10" s="13" customFormat="1" ht="5.0999999999999996" customHeight="1" thickTop="1">
      <c r="A19" s="35"/>
      <c r="B19" s="508"/>
      <c r="C19" s="508"/>
    </row>
    <row r="20" spans="1:10" s="13" customFormat="1" ht="15" customHeight="1" thickBot="1">
      <c r="A20" s="35"/>
      <c r="B20" s="508"/>
      <c r="C20" s="508"/>
      <c r="D20" s="870" t="s">
        <v>379</v>
      </c>
      <c r="E20" s="1675" t="s">
        <v>438</v>
      </c>
      <c r="F20" s="1675"/>
      <c r="G20" s="1675"/>
      <c r="H20" s="1675"/>
      <c r="I20" s="1675"/>
      <c r="J20" s="1675"/>
    </row>
    <row r="21" spans="1:10" s="13" customFormat="1" ht="15" customHeight="1" thickTop="1" thickBot="1">
      <c r="A21" s="35"/>
      <c r="B21" s="504" t="s">
        <v>146</v>
      </c>
      <c r="C21" s="509" t="s">
        <v>138</v>
      </c>
      <c r="D21" s="871">
        <v>12</v>
      </c>
      <c r="E21" s="1676" t="s">
        <v>439</v>
      </c>
      <c r="F21" s="1677"/>
      <c r="G21" s="1677"/>
      <c r="H21" s="1677"/>
      <c r="I21" s="1677"/>
      <c r="J21" s="1678"/>
    </row>
    <row r="22" spans="1:10" s="13" customFormat="1" ht="15" customHeight="1" thickTop="1" thickBot="1">
      <c r="A22" s="35"/>
      <c r="B22" s="510" t="s">
        <v>380</v>
      </c>
      <c r="C22" s="511">
        <v>46022</v>
      </c>
      <c r="D22" s="512">
        <v>10000</v>
      </c>
      <c r="E22" s="1643" t="s">
        <v>444</v>
      </c>
      <c r="F22" s="1644"/>
      <c r="G22" s="1644"/>
      <c r="H22" s="1644"/>
      <c r="I22" s="1644"/>
      <c r="J22" s="1645"/>
    </row>
    <row r="23" spans="1:10" s="117" customFormat="1" ht="10.15" customHeight="1" thickTop="1" thickBot="1">
      <c r="B23" s="513"/>
      <c r="C23" s="514"/>
      <c r="D23" s="514"/>
      <c r="E23" s="513"/>
      <c r="F23" s="515"/>
      <c r="G23" s="516"/>
      <c r="H23" s="517"/>
      <c r="I23" s="517"/>
      <c r="J23" s="514"/>
    </row>
    <row r="24" spans="1:10" s="117" customFormat="1" ht="10.15" customHeight="1">
      <c r="B24" s="116"/>
      <c r="E24" s="116"/>
      <c r="F24" s="518"/>
      <c r="G24" s="519"/>
      <c r="H24" s="520"/>
      <c r="I24" s="520"/>
    </row>
    <row r="25" spans="1:10" s="117" customFormat="1" ht="21" customHeight="1" thickBot="1">
      <c r="B25" s="1646" t="s">
        <v>167</v>
      </c>
      <c r="C25" s="1646"/>
      <c r="D25" s="1646"/>
      <c r="E25" s="1646"/>
      <c r="F25" s="1646"/>
      <c r="G25" s="1646"/>
      <c r="H25" s="1646"/>
      <c r="I25" s="1646"/>
      <c r="J25" s="1646"/>
    </row>
    <row r="26" spans="1:10" s="117" customFormat="1" ht="10.15" customHeight="1" thickBot="1">
      <c r="B26" s="521"/>
      <c r="C26" s="522"/>
      <c r="D26" s="522"/>
      <c r="E26" s="521"/>
      <c r="F26" s="523"/>
      <c r="G26" s="524"/>
      <c r="H26" s="525"/>
      <c r="I26" s="525"/>
      <c r="J26" s="522"/>
    </row>
    <row r="27" spans="1:10" s="117" customFormat="1" ht="21" customHeight="1" thickTop="1" thickBot="1">
      <c r="B27" s="1647" t="s">
        <v>381</v>
      </c>
      <c r="C27" s="1647"/>
      <c r="D27" s="1647"/>
      <c r="E27" s="1647"/>
      <c r="F27" s="1647"/>
      <c r="G27" s="1648" t="s">
        <v>440</v>
      </c>
      <c r="H27" s="1648"/>
      <c r="I27" s="1649"/>
      <c r="J27" s="813" t="s">
        <v>8</v>
      </c>
    </row>
    <row r="28" spans="1:10" s="117" customFormat="1" ht="12" customHeight="1" thickTop="1" thickBot="1">
      <c r="B28" s="1650" t="s">
        <v>382</v>
      </c>
      <c r="C28" s="1650"/>
      <c r="D28" s="1650"/>
      <c r="E28" s="1651" t="s">
        <v>383</v>
      </c>
      <c r="F28" s="1651"/>
      <c r="G28" s="1651"/>
      <c r="H28" s="526"/>
      <c r="I28" s="526"/>
      <c r="J28" s="527"/>
    </row>
    <row r="29" spans="1:10" s="117" customFormat="1" ht="10.15" customHeight="1" thickBot="1">
      <c r="B29" s="528"/>
      <c r="C29" s="529"/>
      <c r="D29" s="529"/>
      <c r="E29" s="528"/>
      <c r="F29" s="530"/>
      <c r="G29" s="531"/>
      <c r="H29" s="532"/>
      <c r="I29" s="532"/>
      <c r="J29" s="529"/>
    </row>
    <row r="30" spans="1:10" s="117" customFormat="1" ht="21" customHeight="1" thickTop="1" thickBot="1">
      <c r="B30" s="1652" t="s">
        <v>293</v>
      </c>
      <c r="C30" s="1652"/>
      <c r="D30" s="1652"/>
      <c r="E30" s="533"/>
      <c r="F30" s="534"/>
      <c r="G30" s="1653" t="s">
        <v>440</v>
      </c>
      <c r="H30" s="1653"/>
      <c r="I30" s="1654"/>
      <c r="J30" s="813" t="s">
        <v>8</v>
      </c>
    </row>
    <row r="31" spans="1:10" s="117" customFormat="1" ht="15" customHeight="1" thickTop="1">
      <c r="B31" s="1655" t="s">
        <v>384</v>
      </c>
      <c r="C31" s="1655"/>
      <c r="D31" s="1655"/>
      <c r="E31" s="1656" t="s">
        <v>441</v>
      </c>
      <c r="F31" s="1656"/>
      <c r="G31" s="1657"/>
      <c r="H31" s="1622" t="s">
        <v>178</v>
      </c>
      <c r="I31" s="1623"/>
      <c r="J31" s="1639" t="s">
        <v>385</v>
      </c>
    </row>
    <row r="32" spans="1:10" s="117" customFormat="1" ht="17.100000000000001" customHeight="1">
      <c r="B32" s="1641" t="s">
        <v>382</v>
      </c>
      <c r="C32" s="1641"/>
      <c r="D32" s="1641"/>
      <c r="E32" s="533"/>
      <c r="F32" s="534"/>
      <c r="G32" s="531"/>
      <c r="H32" s="1642">
        <v>45752</v>
      </c>
      <c r="I32" s="1642"/>
      <c r="J32" s="1640"/>
    </row>
    <row r="33" spans="2:11" s="117" customFormat="1" ht="10.15" customHeight="1" thickBot="1">
      <c r="B33" s="1691"/>
      <c r="C33" s="1691"/>
      <c r="D33" s="1691"/>
      <c r="E33" s="535"/>
      <c r="F33" s="536"/>
      <c r="G33" s="537"/>
      <c r="H33" s="538"/>
      <c r="I33" s="538"/>
      <c r="J33" s="536"/>
    </row>
    <row r="34" spans="2:11" s="117" customFormat="1" ht="10.15" customHeight="1" thickBot="1">
      <c r="B34" s="539"/>
      <c r="C34" s="540"/>
      <c r="D34" s="540"/>
      <c r="E34" s="539"/>
      <c r="F34" s="541"/>
      <c r="G34" s="542"/>
      <c r="H34" s="543"/>
      <c r="I34" s="543"/>
      <c r="J34" s="540"/>
    </row>
    <row r="35" spans="2:11" s="117" customFormat="1" ht="21" customHeight="1" thickTop="1" thickBot="1">
      <c r="B35" s="1692" t="s">
        <v>293</v>
      </c>
      <c r="C35" s="1692"/>
      <c r="D35" s="1692"/>
      <c r="E35" s="544"/>
      <c r="F35" s="545"/>
      <c r="G35" s="1693" t="s">
        <v>440</v>
      </c>
      <c r="H35" s="1693"/>
      <c r="I35" s="1694"/>
      <c r="J35" s="813" t="s">
        <v>8</v>
      </c>
    </row>
    <row r="36" spans="2:11" s="117" customFormat="1" ht="15" customHeight="1" thickTop="1">
      <c r="B36" s="1695" t="s">
        <v>292</v>
      </c>
      <c r="C36" s="1695"/>
      <c r="D36" s="1695"/>
      <c r="E36" s="1624"/>
      <c r="F36" s="1624"/>
      <c r="G36" s="1624"/>
      <c r="H36" s="1625"/>
      <c r="I36" s="1625"/>
      <c r="J36" s="1626" t="s">
        <v>386</v>
      </c>
    </row>
    <row r="37" spans="2:11" s="117" customFormat="1" ht="17.100000000000001" customHeight="1">
      <c r="B37" s="1628" t="s">
        <v>382</v>
      </c>
      <c r="C37" s="1628"/>
      <c r="D37" s="1628"/>
      <c r="E37" s="544"/>
      <c r="F37" s="545"/>
      <c r="G37" s="542"/>
      <c r="H37" s="1625"/>
      <c r="I37" s="1625"/>
      <c r="J37" s="1627"/>
    </row>
    <row r="38" spans="2:11" ht="15.4" customHeight="1">
      <c r="B38" s="1685" t="s">
        <v>387</v>
      </c>
      <c r="C38" s="1685"/>
      <c r="D38" s="1685"/>
      <c r="E38" s="1685"/>
      <c r="F38" s="1685"/>
      <c r="G38" s="1685"/>
      <c r="H38" s="546"/>
      <c r="I38" s="546"/>
      <c r="J38" s="547"/>
      <c r="K38" s="43"/>
    </row>
    <row r="39" spans="2:11" ht="5.0999999999999996" customHeight="1">
      <c r="B39" s="548"/>
      <c r="C39" s="548"/>
      <c r="D39" s="548"/>
      <c r="E39" s="548"/>
      <c r="F39" s="548"/>
      <c r="G39" s="548"/>
      <c r="H39" s="546"/>
      <c r="I39" s="546"/>
      <c r="J39" s="547"/>
      <c r="K39" s="43"/>
    </row>
    <row r="40" spans="2:11" ht="15.95" customHeight="1">
      <c r="B40" s="1686" t="s">
        <v>443</v>
      </c>
      <c r="C40" s="1686"/>
      <c r="D40" s="1687"/>
      <c r="E40" s="549" t="s">
        <v>36</v>
      </c>
      <c r="F40" s="549" t="s">
        <v>37</v>
      </c>
      <c r="G40" s="549" t="s">
        <v>38</v>
      </c>
      <c r="H40" s="874" t="s">
        <v>442</v>
      </c>
      <c r="I40" s="1617" t="s">
        <v>149</v>
      </c>
      <c r="J40" s="1618"/>
    </row>
    <row r="41" spans="2:11" ht="15.95" customHeight="1">
      <c r="B41" s="1686"/>
      <c r="C41" s="1686"/>
      <c r="D41" s="1687"/>
      <c r="E41" s="872" t="s">
        <v>5</v>
      </c>
      <c r="F41" s="872" t="s">
        <v>5</v>
      </c>
      <c r="G41" s="872" t="s">
        <v>5</v>
      </c>
      <c r="H41" s="875" t="s">
        <v>388</v>
      </c>
      <c r="I41" s="550" t="s">
        <v>146</v>
      </c>
      <c r="J41" s="551" t="s">
        <v>60</v>
      </c>
    </row>
    <row r="42" spans="2:11" ht="15.95" customHeight="1">
      <c r="B42" s="1686"/>
      <c r="C42" s="1686"/>
      <c r="D42" s="1687"/>
      <c r="E42" s="872" t="s">
        <v>5</v>
      </c>
      <c r="F42" s="872" t="s">
        <v>5</v>
      </c>
      <c r="G42" s="872" t="s">
        <v>5</v>
      </c>
      <c r="H42" s="875" t="s">
        <v>389</v>
      </c>
      <c r="I42" s="552" t="s">
        <v>146</v>
      </c>
      <c r="J42" s="553" t="s">
        <v>61</v>
      </c>
    </row>
    <row r="43" spans="2:11" ht="15.95" customHeight="1">
      <c r="B43" s="1686"/>
      <c r="C43" s="1686"/>
      <c r="D43" s="1687"/>
      <c r="E43" s="1688"/>
      <c r="F43" s="1689"/>
      <c r="G43" s="1690"/>
      <c r="H43" s="876" t="s">
        <v>390</v>
      </c>
      <c r="I43" s="550"/>
      <c r="J43" s="551"/>
    </row>
    <row r="44" spans="2:11" ht="15.95" customHeight="1">
      <c r="B44" s="1686"/>
      <c r="C44" s="1686"/>
      <c r="D44" s="1687"/>
      <c r="E44" s="1688"/>
      <c r="F44" s="1689"/>
      <c r="G44" s="1690"/>
      <c r="H44" s="546"/>
      <c r="I44" s="552"/>
      <c r="J44" s="553"/>
    </row>
    <row r="45" spans="2:11" s="117" customFormat="1" ht="10.15" customHeight="1" thickBot="1">
      <c r="B45" s="1605"/>
      <c r="C45" s="1605"/>
      <c r="D45" s="1605"/>
      <c r="E45" s="554"/>
      <c r="F45" s="555"/>
      <c r="G45" s="556"/>
      <c r="H45" s="557"/>
      <c r="I45" s="557"/>
      <c r="J45" s="558"/>
    </row>
    <row r="46" spans="2:11" s="117" customFormat="1" ht="10.15" customHeight="1" thickBot="1">
      <c r="B46" s="559"/>
      <c r="C46" s="560"/>
      <c r="D46" s="560"/>
      <c r="E46" s="559"/>
      <c r="F46" s="561"/>
      <c r="G46" s="562"/>
      <c r="H46" s="563"/>
      <c r="I46" s="563"/>
      <c r="J46" s="560"/>
    </row>
    <row r="47" spans="2:11" s="117" customFormat="1" ht="21" customHeight="1" thickTop="1" thickBot="1">
      <c r="B47" s="1606" t="s">
        <v>293</v>
      </c>
      <c r="C47" s="1606"/>
      <c r="D47" s="1606"/>
      <c r="E47" s="564"/>
      <c r="F47" s="565"/>
      <c r="G47" s="1607" t="s">
        <v>440</v>
      </c>
      <c r="H47" s="1607"/>
      <c r="I47" s="1608"/>
      <c r="J47" s="813" t="s">
        <v>8</v>
      </c>
    </row>
    <row r="48" spans="2:11" s="117" customFormat="1" ht="15" customHeight="1" thickTop="1">
      <c r="B48" s="1609" t="s">
        <v>391</v>
      </c>
      <c r="C48" s="1609"/>
      <c r="D48" s="1609"/>
      <c r="E48" s="1610"/>
      <c r="F48" s="1610"/>
      <c r="G48" s="1610"/>
      <c r="H48" s="1611"/>
      <c r="I48" s="1611"/>
      <c r="J48" s="1670" t="s">
        <v>392</v>
      </c>
    </row>
    <row r="49" spans="2:10" s="117" customFormat="1" ht="17.100000000000001" customHeight="1">
      <c r="B49" s="1612" t="s">
        <v>382</v>
      </c>
      <c r="C49" s="1612"/>
      <c r="D49" s="1612"/>
      <c r="E49" s="564"/>
      <c r="F49" s="565"/>
      <c r="G49" s="562"/>
      <c r="H49" s="1611"/>
      <c r="I49" s="1611"/>
      <c r="J49" s="1671"/>
    </row>
    <row r="50" spans="2:10" ht="15.4" customHeight="1">
      <c r="B50" s="1613" t="s">
        <v>387</v>
      </c>
      <c r="C50" s="1613"/>
      <c r="D50" s="1613"/>
      <c r="E50" s="1613"/>
      <c r="F50" s="1613"/>
      <c r="G50" s="1613"/>
      <c r="H50" s="566"/>
      <c r="I50" s="1614"/>
      <c r="J50" s="1614"/>
    </row>
    <row r="51" spans="2:10" ht="15.95" customHeight="1">
      <c r="B51" s="1615" t="s">
        <v>445</v>
      </c>
      <c r="C51" s="1615"/>
      <c r="D51" s="1616"/>
      <c r="E51" s="549" t="s">
        <v>36</v>
      </c>
      <c r="F51" s="549" t="s">
        <v>37</v>
      </c>
      <c r="G51" s="549" t="s">
        <v>38</v>
      </c>
      <c r="H51" s="566"/>
      <c r="I51" s="1617" t="s">
        <v>149</v>
      </c>
      <c r="J51" s="1618"/>
    </row>
    <row r="52" spans="2:10" ht="15.95" customHeight="1">
      <c r="B52" s="1615"/>
      <c r="C52" s="1615"/>
      <c r="D52" s="1616"/>
      <c r="E52" s="567"/>
      <c r="F52" s="567"/>
      <c r="G52" s="567"/>
      <c r="H52" s="877" t="s">
        <v>393</v>
      </c>
      <c r="I52" s="550"/>
      <c r="J52" s="551"/>
    </row>
    <row r="53" spans="2:10" ht="15.95" customHeight="1">
      <c r="B53" s="1615"/>
      <c r="C53" s="1615"/>
      <c r="D53" s="1616"/>
      <c r="E53" s="567"/>
      <c r="F53" s="567"/>
      <c r="G53" s="567"/>
      <c r="H53" s="878" t="s">
        <v>446</v>
      </c>
      <c r="I53" s="552"/>
      <c r="J53" s="553"/>
    </row>
    <row r="54" spans="2:10" ht="15.95" customHeight="1">
      <c r="B54" s="1615"/>
      <c r="C54" s="1615"/>
      <c r="D54" s="1616"/>
      <c r="E54" s="1619" t="s">
        <v>5</v>
      </c>
      <c r="F54" s="1620"/>
      <c r="G54" s="1621"/>
      <c r="H54" s="877" t="s">
        <v>388</v>
      </c>
      <c r="I54" s="550" t="s">
        <v>146</v>
      </c>
      <c r="J54" s="551" t="s">
        <v>60</v>
      </c>
    </row>
    <row r="55" spans="2:10" ht="15.95" customHeight="1">
      <c r="B55" s="1615"/>
      <c r="C55" s="1615"/>
      <c r="D55" s="1616"/>
      <c r="E55" s="1619" t="s">
        <v>5</v>
      </c>
      <c r="F55" s="1620"/>
      <c r="G55" s="1621"/>
      <c r="H55" s="877" t="s">
        <v>389</v>
      </c>
      <c r="I55" s="552" t="s">
        <v>146</v>
      </c>
      <c r="J55" s="553" t="s">
        <v>61</v>
      </c>
    </row>
    <row r="56" spans="2:10" s="117" customFormat="1" ht="10.15" customHeight="1" thickBot="1">
      <c r="B56" s="568"/>
      <c r="C56" s="569"/>
      <c r="D56" s="569"/>
      <c r="E56" s="568"/>
      <c r="F56" s="570"/>
      <c r="G56" s="571"/>
      <c r="H56" s="572"/>
      <c r="I56" s="573"/>
      <c r="J56" s="569"/>
    </row>
    <row r="57" spans="2:10" s="117" customFormat="1" ht="8.1" customHeight="1">
      <c r="B57" s="116"/>
      <c r="E57" s="116"/>
      <c r="F57" s="518"/>
      <c r="G57" s="519"/>
      <c r="H57" s="520"/>
      <c r="I57" s="520"/>
    </row>
    <row r="58" spans="2:10" ht="20.65" customHeight="1">
      <c r="B58" s="1602" t="s">
        <v>317</v>
      </c>
      <c r="C58" s="1603"/>
      <c r="D58" s="1603"/>
      <c r="E58" s="1603"/>
      <c r="F58" s="1603"/>
      <c r="G58" s="1603"/>
      <c r="H58" s="1603"/>
      <c r="I58" s="1603"/>
      <c r="J58" s="1604"/>
    </row>
  </sheetData>
  <sheetProtection sheet="1" objects="1" scenarios="1"/>
  <mergeCells count="66">
    <mergeCell ref="B40:D44"/>
    <mergeCell ref="I40:J40"/>
    <mergeCell ref="E43:G43"/>
    <mergeCell ref="E44:G44"/>
    <mergeCell ref="B33:D33"/>
    <mergeCell ref="B35:D35"/>
    <mergeCell ref="G35:I35"/>
    <mergeCell ref="B36:D36"/>
    <mergeCell ref="E4:J4"/>
    <mergeCell ref="E5:J5"/>
    <mergeCell ref="E6:J6"/>
    <mergeCell ref="E7:J7"/>
    <mergeCell ref="J48:J49"/>
    <mergeCell ref="H49:I49"/>
    <mergeCell ref="E18:J18"/>
    <mergeCell ref="E20:J20"/>
    <mergeCell ref="E21:J21"/>
    <mergeCell ref="E8:J8"/>
    <mergeCell ref="E9:J9"/>
    <mergeCell ref="E10:J10"/>
    <mergeCell ref="E11:J11"/>
    <mergeCell ref="E12:J12"/>
    <mergeCell ref="E14:J14"/>
    <mergeCell ref="B38:G38"/>
    <mergeCell ref="B2:C2"/>
    <mergeCell ref="D2:F2"/>
    <mergeCell ref="G2:I2"/>
    <mergeCell ref="E3:J3"/>
    <mergeCell ref="B1:E1"/>
    <mergeCell ref="I1:J1"/>
    <mergeCell ref="B16:C17"/>
    <mergeCell ref="D16:J16"/>
    <mergeCell ref="E17:J17"/>
    <mergeCell ref="J31:J32"/>
    <mergeCell ref="B32:D32"/>
    <mergeCell ref="H32:I32"/>
    <mergeCell ref="E22:J22"/>
    <mergeCell ref="B25:J25"/>
    <mergeCell ref="B27:F27"/>
    <mergeCell ref="G27:I27"/>
    <mergeCell ref="B28:D28"/>
    <mergeCell ref="E28:G28"/>
    <mergeCell ref="B30:D30"/>
    <mergeCell ref="G30:I30"/>
    <mergeCell ref="B31:D31"/>
    <mergeCell ref="E31:G31"/>
    <mergeCell ref="H31:I31"/>
    <mergeCell ref="E36:G36"/>
    <mergeCell ref="H36:I36"/>
    <mergeCell ref="J36:J37"/>
    <mergeCell ref="B37:D37"/>
    <mergeCell ref="H37:I37"/>
    <mergeCell ref="B58:J58"/>
    <mergeCell ref="B45:D45"/>
    <mergeCell ref="B47:D47"/>
    <mergeCell ref="G47:I47"/>
    <mergeCell ref="B48:D48"/>
    <mergeCell ref="E48:G48"/>
    <mergeCell ref="H48:I48"/>
    <mergeCell ref="B49:D49"/>
    <mergeCell ref="B50:G50"/>
    <mergeCell ref="I50:J50"/>
    <mergeCell ref="B51:D55"/>
    <mergeCell ref="I51:J51"/>
    <mergeCell ref="E54:G54"/>
    <mergeCell ref="E55:G55"/>
  </mergeCells>
  <printOptions horizontalCentered="1"/>
  <pageMargins left="0" right="0" top="0" bottom="0.31496062992125984" header="0" footer="0"/>
  <pageSetup paperSize="9" orientation="portrait" r:id="rId1"/>
  <headerFooter>
    <oddFooter>&amp;L&amp;"Arial,Standard"&amp;8Datei: &amp;Z&amp;F/&amp;A&amp;R&amp;"Arial,Standard"&amp;8Druck: &amp;D&amp;T Uhr</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A1B96A-DAE6-4618-BF5B-000B466EB6C7}">
  <sheetPr codeName="Tabelle9">
    <tabColor theme="6" tint="0.39997558519241921"/>
    <pageSetUpPr autoPageBreaks="0"/>
  </sheetPr>
  <dimension ref="A1:AB51"/>
  <sheetViews>
    <sheetView showGridLines="0" showRowColHeaders="0" zoomScaleNormal="100" workbookViewId="0">
      <pane ySplit="3" topLeftCell="A4" activePane="bottomLeft" state="frozen"/>
      <selection activeCell="E4" sqref="E4:E46"/>
      <selection pane="bottomLeft" activeCell="A4" sqref="A4"/>
    </sheetView>
  </sheetViews>
  <sheetFormatPr baseColWidth="10" defaultColWidth="9.77734375" defaultRowHeight="12.75"/>
  <cols>
    <col min="1" max="1" width="0.77734375" style="12" customWidth="1"/>
    <col min="2" max="2" width="7.6640625" style="30" customWidth="1"/>
    <col min="3" max="3" width="21.6640625" style="24" customWidth="1"/>
    <col min="4" max="4" width="7.6640625" style="24" customWidth="1"/>
    <col min="5" max="5" width="6.6640625" style="25" customWidth="1"/>
    <col min="6" max="6" width="9.6640625" style="26" customWidth="1"/>
    <col min="7" max="7" width="9.6640625" style="27" customWidth="1"/>
    <col min="8" max="8" width="2.6640625" style="28" customWidth="1"/>
    <col min="9" max="9" width="6.6640625" style="29" customWidth="1"/>
    <col min="10" max="10" width="9.6640625" style="27" customWidth="1"/>
    <col min="11" max="11" width="2.5546875" style="27" hidden="1" customWidth="1"/>
    <col min="12" max="12" width="1.5546875" style="32" hidden="1" customWidth="1"/>
    <col min="13" max="13" width="0.77734375" style="13" customWidth="1"/>
    <col min="14" max="14" width="1.77734375" style="147" customWidth="1"/>
    <col min="15" max="26" width="8.77734375" style="13" customWidth="1"/>
    <col min="27" max="27" width="10.33203125" style="13" customWidth="1"/>
    <col min="28" max="28" width="8.33203125" style="13" customWidth="1"/>
    <col min="29" max="16384" width="9.77734375" style="13"/>
  </cols>
  <sheetData>
    <row r="1" spans="1:28" s="37" customFormat="1" ht="3" customHeight="1" thickBot="1">
      <c r="A1" s="36"/>
      <c r="B1" s="53" t="str">
        <f>+B48</f>
        <v>ü</v>
      </c>
      <c r="C1" s="54">
        <f>+C49</f>
        <v>0</v>
      </c>
      <c r="D1" s="54"/>
      <c r="E1" s="53">
        <f>+E49</f>
        <v>0</v>
      </c>
      <c r="F1" s="53"/>
      <c r="G1" s="54">
        <f>+G49</f>
        <v>0</v>
      </c>
      <c r="H1" s="53"/>
      <c r="I1" s="338" t="str">
        <f>+EÜR!J66</f>
        <v>-</v>
      </c>
      <c r="J1" s="54">
        <f>+J48</f>
        <v>0</v>
      </c>
      <c r="K1" s="198"/>
      <c r="L1" s="56"/>
      <c r="N1" s="190"/>
    </row>
    <row r="2" spans="1:28" ht="23.1" customHeight="1" thickTop="1" thickBot="1">
      <c r="A2" s="36"/>
      <c r="B2" s="294" t="str">
        <f>+EÜR!D12</f>
        <v>E05</v>
      </c>
      <c r="C2" s="1245" t="str">
        <f>+EÜR!F12</f>
        <v>sonstige Entnahmen</v>
      </c>
      <c r="D2" s="1246"/>
      <c r="E2" s="1246"/>
      <c r="F2" s="1246"/>
      <c r="G2" s="1246"/>
      <c r="H2" s="1246"/>
      <c r="I2" s="1247"/>
      <c r="J2" s="1227" t="s">
        <v>8</v>
      </c>
      <c r="K2" s="1228"/>
      <c r="L2" s="1229"/>
      <c r="M2" s="134"/>
      <c r="N2" s="190">
        <f>IF(OR(B48="x",N3=1),0,1)</f>
        <v>1</v>
      </c>
      <c r="O2" s="188">
        <f>+EOMONTH(EÜR!$I$3,-1)+1</f>
        <v>46023</v>
      </c>
      <c r="P2" s="188">
        <f t="shared" ref="P2:Z2" si="0">+O3+1</f>
        <v>46054</v>
      </c>
      <c r="Q2" s="188">
        <f t="shared" si="0"/>
        <v>46082</v>
      </c>
      <c r="R2" s="188">
        <f t="shared" si="0"/>
        <v>46113</v>
      </c>
      <c r="S2" s="188">
        <f t="shared" si="0"/>
        <v>46143</v>
      </c>
      <c r="T2" s="188">
        <f t="shared" si="0"/>
        <v>46174</v>
      </c>
      <c r="U2" s="188">
        <f t="shared" si="0"/>
        <v>46204</v>
      </c>
      <c r="V2" s="188">
        <f t="shared" si="0"/>
        <v>46235</v>
      </c>
      <c r="W2" s="188">
        <f t="shared" si="0"/>
        <v>46266</v>
      </c>
      <c r="X2" s="188">
        <f t="shared" si="0"/>
        <v>46296</v>
      </c>
      <c r="Y2" s="188">
        <f t="shared" si="0"/>
        <v>46327</v>
      </c>
      <c r="Z2" s="188">
        <f t="shared" si="0"/>
        <v>46357</v>
      </c>
      <c r="AA2" s="48"/>
    </row>
    <row r="3" spans="1:28" ht="14.25" customHeight="1" thickTop="1">
      <c r="A3" s="36" t="s">
        <v>5</v>
      </c>
      <c r="B3" s="58" t="s">
        <v>1</v>
      </c>
      <c r="C3" s="59" t="s">
        <v>6</v>
      </c>
      <c r="D3" s="60"/>
      <c r="E3" s="310" t="s">
        <v>7</v>
      </c>
      <c r="F3" s="61" t="s">
        <v>4</v>
      </c>
      <c r="G3" s="62" t="s">
        <v>31</v>
      </c>
      <c r="H3" s="63" t="s">
        <v>33</v>
      </c>
      <c r="I3" s="64" t="s">
        <v>32</v>
      </c>
      <c r="J3" s="360" t="s">
        <v>143</v>
      </c>
      <c r="K3" s="199">
        <v>0</v>
      </c>
      <c r="L3" s="65" t="s">
        <v>5</v>
      </c>
      <c r="M3" s="135" t="s">
        <v>5</v>
      </c>
      <c r="N3" s="222">
        <f>IF(SUBTOTAL(109,K3:K47)&lt;&gt;SUM(K3:K47),1,0)</f>
        <v>0</v>
      </c>
      <c r="O3" s="189">
        <f>EOMONTH(O2,0)</f>
        <v>46053</v>
      </c>
      <c r="P3" s="189">
        <f t="shared" ref="P3:Z3" si="1">EOMONTH(P2,0)</f>
        <v>46081</v>
      </c>
      <c r="Q3" s="189">
        <f t="shared" si="1"/>
        <v>46112</v>
      </c>
      <c r="R3" s="189">
        <f t="shared" si="1"/>
        <v>46142</v>
      </c>
      <c r="S3" s="189">
        <f t="shared" si="1"/>
        <v>46173</v>
      </c>
      <c r="T3" s="189">
        <f t="shared" si="1"/>
        <v>46203</v>
      </c>
      <c r="U3" s="189">
        <f t="shared" si="1"/>
        <v>46234</v>
      </c>
      <c r="V3" s="189">
        <f t="shared" si="1"/>
        <v>46265</v>
      </c>
      <c r="W3" s="189">
        <f t="shared" si="1"/>
        <v>46295</v>
      </c>
      <c r="X3" s="189">
        <f t="shared" si="1"/>
        <v>46326</v>
      </c>
      <c r="Y3" s="189">
        <f t="shared" si="1"/>
        <v>46356</v>
      </c>
      <c r="Z3" s="189">
        <f t="shared" si="1"/>
        <v>46387</v>
      </c>
      <c r="AB3" s="14"/>
    </row>
    <row r="4" spans="1:28" ht="13.35" customHeight="1">
      <c r="A4" s="50" t="s">
        <v>5</v>
      </c>
      <c r="B4" s="141"/>
      <c r="C4" s="80"/>
      <c r="D4" s="93"/>
      <c r="E4" s="969"/>
      <c r="F4" s="385"/>
      <c r="G4" s="81"/>
      <c r="H4" s="82"/>
      <c r="I4" s="83" t="str">
        <f t="shared" ref="I4:I44" si="2">IF(G4&lt;&gt;"",+G4-G4/(1+H4/100),"")</f>
        <v/>
      </c>
      <c r="J4" s="282" t="str">
        <f t="shared" ref="J4:J44" si="3">IF(G4&lt;&gt;0,+G4-I4,"")</f>
        <v/>
      </c>
      <c r="K4" s="200">
        <v>1</v>
      </c>
      <c r="L4" s="133">
        <f>IF(B4&lt;$O$2,0,IF(B4&lt;$P$2,1,IF(B4&lt;$Q$2,2,IF(B4&lt;$R$2,3,IF(B4&lt;$S$2,4,IF(B4&lt;$T$2,5,IF(B4&lt;$U$2,6,IF(B4&lt;$V$2,7,IF(B4&lt;$W$2,8,IF(B4&lt;$X$2,9,IF(B4&lt;$Y$2,10,IF(B4&lt;$Z$2,11,IF(B4&lt;=$Z$3,12,0)))))))))))))</f>
        <v>0</v>
      </c>
      <c r="M4" s="135" t="s">
        <v>5</v>
      </c>
      <c r="N4" s="190">
        <f>+N10+AA12+AA16</f>
        <v>0</v>
      </c>
      <c r="O4" s="251" t="s">
        <v>36</v>
      </c>
      <c r="P4" s="251" t="s">
        <v>37</v>
      </c>
      <c r="Q4" s="251" t="s">
        <v>38</v>
      </c>
      <c r="R4" s="251" t="s">
        <v>39</v>
      </c>
      <c r="S4" s="251" t="s">
        <v>40</v>
      </c>
      <c r="T4" s="251" t="s">
        <v>41</v>
      </c>
      <c r="U4" s="251" t="s">
        <v>42</v>
      </c>
      <c r="V4" s="251" t="s">
        <v>43</v>
      </c>
      <c r="W4" s="251" t="s">
        <v>44</v>
      </c>
      <c r="X4" s="251" t="s">
        <v>45</v>
      </c>
      <c r="Y4" s="251" t="s">
        <v>46</v>
      </c>
      <c r="Z4" s="251" t="s">
        <v>47</v>
      </c>
      <c r="AA4" s="1209" t="s">
        <v>255</v>
      </c>
      <c r="AB4" s="1210"/>
    </row>
    <row r="5" spans="1:28" ht="13.35" customHeight="1">
      <c r="A5" s="50" t="s">
        <v>5</v>
      </c>
      <c r="B5" s="141"/>
      <c r="C5" s="80"/>
      <c r="D5" s="93"/>
      <c r="E5" s="969"/>
      <c r="F5" s="385"/>
      <c r="G5" s="81"/>
      <c r="H5" s="82"/>
      <c r="I5" s="83" t="str">
        <f t="shared" si="2"/>
        <v/>
      </c>
      <c r="J5" s="282" t="str">
        <f t="shared" si="3"/>
        <v/>
      </c>
      <c r="K5" s="200">
        <v>2</v>
      </c>
      <c r="L5" s="133">
        <f t="shared" ref="L5:L44" si="4">IF(B5&lt;$O$2,0,IF(B5&lt;$P$2,1,IF(B5&lt;$Q$2,2,IF(B5&lt;$R$2,3,IF(B5&lt;$S$2,4,IF(B5&lt;$T$2,5,IF(B5&lt;$U$2,6,IF(B5&lt;$V$2,7,IF(B5&lt;$W$2,8,IF(B5&lt;$X$2,9,IF(B5&lt;$Y$2,10,IF(B5&lt;$Z$2,11,IF(B5&lt;=$Z$3,12,0)))))))))))))</f>
        <v>0</v>
      </c>
      <c r="M5" s="135" t="s">
        <v>5</v>
      </c>
      <c r="O5" s="252">
        <f>SUMIFS($G$3:$G$47,$L$3:$L$47,1,$F$3:$F$47,"Konto")</f>
        <v>0</v>
      </c>
      <c r="P5" s="252">
        <f>SUMIFS($G$3:$G$47,$L$3:$L$47,2,$F$3:$F$47,"Konto")</f>
        <v>0</v>
      </c>
      <c r="Q5" s="252">
        <f>SUMIFS($G$3:$G$47,$L$3:$L$47,3,$F$3:$F$47,"Konto")</f>
        <v>0</v>
      </c>
      <c r="R5" s="252">
        <f>SUMIFS($G$3:$G$47,$L$3:$L$47,4,$F$3:$F$47,"Konto")</f>
        <v>0</v>
      </c>
      <c r="S5" s="252">
        <f>SUMIFS($G$3:$G$47,$L$3:$L$47,5,$F$3:$F$47,"Konto")</f>
        <v>0</v>
      </c>
      <c r="T5" s="252">
        <f>SUMIFS($G$3:$G$47,$L$3:$L$47,6,$F$3:$F$47,"Konto")</f>
        <v>0</v>
      </c>
      <c r="U5" s="252">
        <f>SUMIFS($G$3:$G$47,$L$3:$L$47,7,$F$3:$F$47,"Konto")</f>
        <v>0</v>
      </c>
      <c r="V5" s="252">
        <f>SUMIFS($G$3:$G$47,$L$3:$L$47,8,$F$3:$F$47,"Konto")</f>
        <v>0</v>
      </c>
      <c r="W5" s="252">
        <f>SUMIFS($G$3:$G$47,$L$3:$L$47,9,$F$3:$F$47,"Konto")</f>
        <v>0</v>
      </c>
      <c r="X5" s="252">
        <f>SUMIFS($G$3:$G$47,$L$3:$L$47,10,$F$3:$F$47,"Konto")</f>
        <v>0</v>
      </c>
      <c r="Y5" s="252">
        <f>SUMIFS($G$3:$G$47,$L$3:$L$47,11,$F$3:$F$47,"Konto")</f>
        <v>0</v>
      </c>
      <c r="Z5" s="252">
        <f>SUMIFS($G$3:$G$47,$L$3:$L$47,12,$F$3:$F$47,"Konto")</f>
        <v>0</v>
      </c>
      <c r="AA5" s="253">
        <f>SUM(O5:Z5)</f>
        <v>0</v>
      </c>
      <c r="AB5" s="254" t="s">
        <v>140</v>
      </c>
    </row>
    <row r="6" spans="1:28" ht="13.35" customHeight="1">
      <c r="A6" s="50" t="s">
        <v>5</v>
      </c>
      <c r="B6" s="141"/>
      <c r="C6" s="80"/>
      <c r="D6" s="93"/>
      <c r="E6" s="969"/>
      <c r="F6" s="385"/>
      <c r="G6" s="81"/>
      <c r="H6" s="82"/>
      <c r="I6" s="83" t="str">
        <f t="shared" si="2"/>
        <v/>
      </c>
      <c r="J6" s="282" t="str">
        <f t="shared" si="3"/>
        <v/>
      </c>
      <c r="K6" s="200">
        <v>3</v>
      </c>
      <c r="L6" s="133">
        <f t="shared" si="4"/>
        <v>0</v>
      </c>
      <c r="M6" s="135" t="s">
        <v>5</v>
      </c>
      <c r="N6" s="190"/>
      <c r="O6" s="252">
        <f>SUMIFS($G$3:$G$47,$L$3:$L$47,1,$F$3:$F$47,"Kreditkarte")</f>
        <v>0</v>
      </c>
      <c r="P6" s="252">
        <f>SUMIFS($G$3:$G$47,$L$3:$L$47,2,$F$3:$F$47,"Kreditkarte")</f>
        <v>0</v>
      </c>
      <c r="Q6" s="252">
        <f>SUMIFS($G$3:$G$47,$L$3:$L$47,3,$F$3:$F$47,"Kreditkarte")</f>
        <v>0</v>
      </c>
      <c r="R6" s="252">
        <f>SUMIFS($G$3:$G$47,$L$3:$L$47,4,$F$3:$F$47,"Kreditkarte")</f>
        <v>0</v>
      </c>
      <c r="S6" s="252">
        <f>SUMIFS($G$3:$G$47,$L$3:$L$47,5,$F$3:$F$47,"Kreditkarte")</f>
        <v>0</v>
      </c>
      <c r="T6" s="252">
        <f>SUMIFS($G$3:$G$47,$L$3:$L$47,6,$F$3:$F$47,"Kreditkarte")</f>
        <v>0</v>
      </c>
      <c r="U6" s="252">
        <f>SUMIFS($G$3:$G$47,$L$3:$L$47,7,$F$3:$F$47,"Kreditkarte")</f>
        <v>0</v>
      </c>
      <c r="V6" s="252">
        <f>SUMIFS($G$3:$G$47,$L$3:$L$47,8,$F$3:$F$47,"Kreditkarte")</f>
        <v>0</v>
      </c>
      <c r="W6" s="252">
        <f>SUMIFS($G$3:$G$47,$L$3:$L$47,9,$F$3:$F$47,"Kreditkarte")</f>
        <v>0</v>
      </c>
      <c r="X6" s="252">
        <f>SUMIFS($G$3:$G$47,$L$3:$L$47,10,$F$3:$F$47,"Kreditkarte")</f>
        <v>0</v>
      </c>
      <c r="Y6" s="252">
        <f>SUMIFS($G$3:$G$47,$L$3:$L$47,11,$F$3:$F$47,"Kreditkarte")</f>
        <v>0</v>
      </c>
      <c r="Z6" s="252">
        <f>SUMIFS($G$3:$G$47,$L$3:$L$47,12,$F$3:$F$47,"Kreditkarte")</f>
        <v>0</v>
      </c>
      <c r="AA6" s="255">
        <f t="shared" ref="AA6:AA8" si="5">SUM(O6:Z6)</f>
        <v>0</v>
      </c>
      <c r="AB6" s="256" t="s">
        <v>142</v>
      </c>
    </row>
    <row r="7" spans="1:28" ht="13.35" customHeight="1">
      <c r="A7" s="50" t="s">
        <v>5</v>
      </c>
      <c r="B7" s="141"/>
      <c r="C7" s="80"/>
      <c r="D7" s="93"/>
      <c r="E7" s="969"/>
      <c r="F7" s="385"/>
      <c r="G7" s="81"/>
      <c r="H7" s="82"/>
      <c r="I7" s="83" t="str">
        <f t="shared" si="2"/>
        <v/>
      </c>
      <c r="J7" s="282" t="str">
        <f t="shared" si="3"/>
        <v/>
      </c>
      <c r="K7" s="200">
        <v>4</v>
      </c>
      <c r="L7" s="133">
        <f t="shared" si="4"/>
        <v>0</v>
      </c>
      <c r="M7" s="135" t="s">
        <v>5</v>
      </c>
      <c r="O7" s="252">
        <f>SUMIFS($G$3:$G$47,$L$3:$L$47,1,$F$3:$F$47,"Geldbeutel")</f>
        <v>0</v>
      </c>
      <c r="P7" s="252">
        <f>SUMIFS($G$3:$G$47,$L$3:$L$47,2,$F$3:$F$47,"Geldbeutel")</f>
        <v>0</v>
      </c>
      <c r="Q7" s="252">
        <f>SUMIFS($G$3:$G$47,$L$3:$L$47,3,$F$3:$F$47,"Geldbeutel")</f>
        <v>0</v>
      </c>
      <c r="R7" s="252">
        <f>SUMIFS($G$3:$G$47,$L$3:$L$47,4,$F$3:$F$47,"Geldbeutel")</f>
        <v>0</v>
      </c>
      <c r="S7" s="252">
        <f>SUMIFS($G$3:$G$47,$L$3:$L$47,5,$F$3:$F$47,"Geldbeutel")</f>
        <v>0</v>
      </c>
      <c r="T7" s="252">
        <f>SUMIFS($G$3:$G$47,$L$3:$L$47,6,$F$3:$F$47,"Geldbeutel")</f>
        <v>0</v>
      </c>
      <c r="U7" s="252">
        <f>SUMIFS($G$3:$G$47,$L$3:$L$47,7,$F$3:$F$47,"Geldbeutel")</f>
        <v>0</v>
      </c>
      <c r="V7" s="252">
        <f>SUMIFS($G$3:$G$47,$L$3:$L$47,8,$F$3:$F$47,"Geldbeutel")</f>
        <v>0</v>
      </c>
      <c r="W7" s="252">
        <f>SUMIFS($G$3:$G$47,$L$3:$L$47,9,$F$3:$F$47,"Geldbeutel")</f>
        <v>0</v>
      </c>
      <c r="X7" s="252">
        <f>SUMIFS($G$3:$G$47,$L$3:$L$47,10,$F$3:$F$47,"Geldbeutel")</f>
        <v>0</v>
      </c>
      <c r="Y7" s="252">
        <f>SUMIFS($G$3:$G$47,$L$3:$L$47,11,$F$3:$F$47,"Geldbeutel")</f>
        <v>0</v>
      </c>
      <c r="Z7" s="252">
        <f>SUMIFS($G$3:$G$47,$L$3:$L$47,12,$F$3:$F$47,"Geldbeutel")</f>
        <v>0</v>
      </c>
      <c r="AA7" s="253">
        <f t="shared" si="5"/>
        <v>0</v>
      </c>
      <c r="AB7" s="254" t="s">
        <v>139</v>
      </c>
    </row>
    <row r="8" spans="1:28" ht="13.35" customHeight="1">
      <c r="A8" s="50" t="s">
        <v>5</v>
      </c>
      <c r="B8" s="141"/>
      <c r="C8" s="80"/>
      <c r="D8" s="93"/>
      <c r="E8" s="969"/>
      <c r="F8" s="385"/>
      <c r="G8" s="81"/>
      <c r="H8" s="82"/>
      <c r="I8" s="83" t="str">
        <f t="shared" si="2"/>
        <v/>
      </c>
      <c r="J8" s="282" t="str">
        <f t="shared" si="3"/>
        <v/>
      </c>
      <c r="K8" s="200">
        <v>5</v>
      </c>
      <c r="L8" s="133">
        <f t="shared" si="4"/>
        <v>0</v>
      </c>
      <c r="M8" s="135" t="s">
        <v>5</v>
      </c>
      <c r="O8" s="252">
        <f>SUMIFS($G$3:$G$47,$L$3:$L$47,1,$F$3:$F$47,"X")</f>
        <v>0</v>
      </c>
      <c r="P8" s="252">
        <f>SUMIFS($G$3:$G$47,$L$3:$L$47,2,$F$3:$F$47,"X")</f>
        <v>0</v>
      </c>
      <c r="Q8" s="252">
        <f>SUMIFS($G$3:$G$47,$L$3:$L$47,3,$F$3:$F$47,"X")</f>
        <v>0</v>
      </c>
      <c r="R8" s="252">
        <f>SUMIFS($G$3:$G$47,$L$3:$L$47,4,$F$3:$F$47,"X")</f>
        <v>0</v>
      </c>
      <c r="S8" s="252">
        <f>SUMIFS($G$3:$G$47,$L$3:$L$47,5,$F$3:$F$47,"X")</f>
        <v>0</v>
      </c>
      <c r="T8" s="252">
        <f>SUMIFS($G$3:$G$47,$L$3:$L$47,6,$F$3:$F$47,"X")</f>
        <v>0</v>
      </c>
      <c r="U8" s="252">
        <f>SUMIFS($G$3:$G$47,$L$3:$L$47,7,$F$3:$F$47,"X")</f>
        <v>0</v>
      </c>
      <c r="V8" s="252">
        <f>SUMIFS($G$3:$G$47,$L$3:$L$47,8,$F$3:$F$47,"X")</f>
        <v>0</v>
      </c>
      <c r="W8" s="252">
        <f>SUMIFS($G$3:$G$47,$L$3:$L$47,9,$F$3:$F$47,"X")</f>
        <v>0</v>
      </c>
      <c r="X8" s="252">
        <f>SUMIFS($G$3:$G$47,$L$3:$L$47,10,$F$3:$F$47,"X")</f>
        <v>0</v>
      </c>
      <c r="Y8" s="252">
        <f>SUMIFS($G$3:$G$47,$L$3:$L$47,11,$F$3:$F$47,"X")</f>
        <v>0</v>
      </c>
      <c r="Z8" s="252">
        <f>SUMIFS($G$3:$G$47,$L$3:$L$47,12,$F$3:$F$47,"X")</f>
        <v>0</v>
      </c>
      <c r="AA8" s="255">
        <f t="shared" si="5"/>
        <v>0</v>
      </c>
      <c r="AB8" s="256" t="s">
        <v>192</v>
      </c>
    </row>
    <row r="9" spans="1:28" ht="13.35" customHeight="1">
      <c r="A9" s="50" t="s">
        <v>5</v>
      </c>
      <c r="B9" s="141"/>
      <c r="C9" s="80"/>
      <c r="D9" s="93"/>
      <c r="E9" s="969"/>
      <c r="F9" s="385"/>
      <c r="G9" s="81"/>
      <c r="H9" s="82"/>
      <c r="I9" s="83" t="str">
        <f t="shared" si="2"/>
        <v/>
      </c>
      <c r="J9" s="282" t="str">
        <f t="shared" si="3"/>
        <v/>
      </c>
      <c r="K9" s="200">
        <v>6</v>
      </c>
      <c r="L9" s="133">
        <f t="shared" si="4"/>
        <v>0</v>
      </c>
      <c r="M9" s="135" t="s">
        <v>5</v>
      </c>
      <c r="N9" s="191">
        <f>IF(OR(AND(AA14&lt;&gt;0,B48="x"),(O14+AA13)&lt;&gt;H48),1,0)</f>
        <v>0</v>
      </c>
      <c r="O9" s="257">
        <f>SUM(O5:O8)</f>
        <v>0</v>
      </c>
      <c r="P9" s="257">
        <f t="shared" ref="P9:Z9" si="6">SUM(P5:P8)</f>
        <v>0</v>
      </c>
      <c r="Q9" s="257">
        <f t="shared" si="6"/>
        <v>0</v>
      </c>
      <c r="R9" s="257">
        <f t="shared" si="6"/>
        <v>0</v>
      </c>
      <c r="S9" s="257">
        <f t="shared" si="6"/>
        <v>0</v>
      </c>
      <c r="T9" s="257">
        <f t="shared" si="6"/>
        <v>0</v>
      </c>
      <c r="U9" s="257">
        <f t="shared" si="6"/>
        <v>0</v>
      </c>
      <c r="V9" s="257">
        <f t="shared" si="6"/>
        <v>0</v>
      </c>
      <c r="W9" s="257">
        <f t="shared" si="6"/>
        <v>0</v>
      </c>
      <c r="X9" s="257">
        <f t="shared" si="6"/>
        <v>0</v>
      </c>
      <c r="Y9" s="257">
        <f t="shared" si="6"/>
        <v>0</v>
      </c>
      <c r="Z9" s="257">
        <f t="shared" si="6"/>
        <v>0</v>
      </c>
      <c r="AA9" s="1211" t="s">
        <v>197</v>
      </c>
      <c r="AB9" s="1212"/>
    </row>
    <row r="10" spans="1:28" ht="13.35" customHeight="1">
      <c r="A10" s="50" t="s">
        <v>5</v>
      </c>
      <c r="B10" s="141"/>
      <c r="C10" s="80"/>
      <c r="D10" s="93"/>
      <c r="E10" s="969"/>
      <c r="F10" s="385"/>
      <c r="G10" s="81"/>
      <c r="H10" s="82"/>
      <c r="I10" s="83" t="str">
        <f t="shared" si="2"/>
        <v/>
      </c>
      <c r="J10" s="282" t="str">
        <f t="shared" si="3"/>
        <v/>
      </c>
      <c r="K10" s="200">
        <v>7</v>
      </c>
      <c r="L10" s="133">
        <f t="shared" si="4"/>
        <v>0</v>
      </c>
      <c r="M10" s="135" t="s">
        <v>5</v>
      </c>
      <c r="N10" s="259">
        <f>IF(O10+AA10&lt;&gt;G48,1,0)</f>
        <v>0</v>
      </c>
      <c r="O10" s="1230">
        <f>SUM(O5:Z8)</f>
        <v>0</v>
      </c>
      <c r="P10" s="1231"/>
      <c r="Q10" s="1231"/>
      <c r="R10" s="1231"/>
      <c r="S10" s="1231"/>
      <c r="T10" s="1231"/>
      <c r="U10" s="1231"/>
      <c r="V10" s="1231"/>
      <c r="W10" s="1231"/>
      <c r="X10" s="1231"/>
      <c r="Y10" s="1231"/>
      <c r="Z10" s="1232"/>
      <c r="AA10" s="292">
        <f>+G48-AA7-AA6-AA5-AA8</f>
        <v>0</v>
      </c>
      <c r="AB10" s="293" t="s">
        <v>205</v>
      </c>
    </row>
    <row r="11" spans="1:28" ht="13.35" customHeight="1">
      <c r="A11" s="50" t="s">
        <v>5</v>
      </c>
      <c r="B11" s="141"/>
      <c r="C11" s="80"/>
      <c r="D11" s="93"/>
      <c r="E11" s="969"/>
      <c r="F11" s="385"/>
      <c r="G11" s="81"/>
      <c r="H11" s="82"/>
      <c r="I11" s="83" t="str">
        <f t="shared" si="2"/>
        <v/>
      </c>
      <c r="J11" s="282" t="str">
        <f t="shared" si="3"/>
        <v/>
      </c>
      <c r="K11" s="200">
        <v>8</v>
      </c>
      <c r="L11" s="133">
        <f t="shared" si="4"/>
        <v>0</v>
      </c>
      <c r="M11" s="135" t="s">
        <v>5</v>
      </c>
      <c r="O11" s="1219" t="str">
        <f>IF(N4&gt;0,"Fehler!","")</f>
        <v/>
      </c>
      <c r="P11" s="1219"/>
      <c r="Q11" s="1219"/>
      <c r="R11" s="1219"/>
      <c r="S11" s="1219"/>
      <c r="T11" s="1219"/>
      <c r="U11" s="1219"/>
      <c r="V11" s="1219"/>
      <c r="W11" s="1219"/>
      <c r="X11" s="1219"/>
      <c r="Y11" s="1219"/>
      <c r="Z11" s="1219"/>
    </row>
    <row r="12" spans="1:28" ht="13.35" customHeight="1">
      <c r="A12" s="50" t="s">
        <v>5</v>
      </c>
      <c r="B12" s="141"/>
      <c r="C12" s="80"/>
      <c r="D12" s="93"/>
      <c r="E12" s="969"/>
      <c r="F12" s="385"/>
      <c r="G12" s="81"/>
      <c r="H12" s="82"/>
      <c r="I12" s="83" t="str">
        <f t="shared" si="2"/>
        <v/>
      </c>
      <c r="J12" s="282" t="str">
        <f t="shared" si="3"/>
        <v/>
      </c>
      <c r="K12" s="200">
        <v>9</v>
      </c>
      <c r="L12" s="133">
        <f t="shared" si="4"/>
        <v>0</v>
      </c>
      <c r="M12" s="135" t="s">
        <v>5</v>
      </c>
      <c r="O12" s="203" t="s">
        <v>36</v>
      </c>
      <c r="P12" s="203" t="s">
        <v>37</v>
      </c>
      <c r="Q12" s="203" t="s">
        <v>38</v>
      </c>
      <c r="R12" s="203" t="s">
        <v>39</v>
      </c>
      <c r="S12" s="203" t="s">
        <v>40</v>
      </c>
      <c r="T12" s="203" t="s">
        <v>41</v>
      </c>
      <c r="U12" s="203" t="s">
        <v>42</v>
      </c>
      <c r="V12" s="203" t="s">
        <v>43</v>
      </c>
      <c r="W12" s="203" t="s">
        <v>44</v>
      </c>
      <c r="X12" s="203" t="s">
        <v>45</v>
      </c>
      <c r="Y12" s="203" t="s">
        <v>46</v>
      </c>
      <c r="Z12" s="203" t="s">
        <v>47</v>
      </c>
      <c r="AA12" s="221">
        <f>IF(O14+AA13&lt;&gt;H48,1,0)</f>
        <v>0</v>
      </c>
    </row>
    <row r="13" spans="1:28" ht="13.35" customHeight="1">
      <c r="A13" s="50" t="s">
        <v>5</v>
      </c>
      <c r="B13" s="141"/>
      <c r="C13" s="80"/>
      <c r="D13" s="93"/>
      <c r="E13" s="969"/>
      <c r="F13" s="385"/>
      <c r="G13" s="81"/>
      <c r="H13" s="82"/>
      <c r="I13" s="83" t="str">
        <f t="shared" si="2"/>
        <v/>
      </c>
      <c r="J13" s="282" t="str">
        <f t="shared" si="3"/>
        <v/>
      </c>
      <c r="K13" s="200">
        <v>10</v>
      </c>
      <c r="L13" s="133">
        <f t="shared" si="4"/>
        <v>0</v>
      </c>
      <c r="M13" s="135" t="s">
        <v>5</v>
      </c>
      <c r="O13" s="187">
        <f>SUMIF($L$3:$L$47,1,$I$3:$I$47)</f>
        <v>0</v>
      </c>
      <c r="P13" s="187">
        <f>SUMIF($L$3:$L$47,2,$I$3:$I$47)</f>
        <v>0</v>
      </c>
      <c r="Q13" s="187">
        <f>SUMIF($L$3:$L$47,3,$I$3:$I$47)</f>
        <v>0</v>
      </c>
      <c r="R13" s="187">
        <f>SUMIF($L$3:$L$47,4,$I$3:$I$47)</f>
        <v>0</v>
      </c>
      <c r="S13" s="187">
        <f>SUMIF($L$3:$L$47,5,$I$3:$I$47)</f>
        <v>0</v>
      </c>
      <c r="T13" s="187">
        <f>SUMIF($L$3:$L$47,6,$I$3:$I$47)</f>
        <v>0</v>
      </c>
      <c r="U13" s="187">
        <f>SUMIF($L$3:$L$47,7,$I$3:$I$47)</f>
        <v>0</v>
      </c>
      <c r="V13" s="187">
        <f>SUMIF($L$3:$L$47,8,$I$3:$I$47)</f>
        <v>0</v>
      </c>
      <c r="W13" s="187">
        <f>SUMIF($L$3:$L$47,9,$I$3:$I$47)</f>
        <v>0</v>
      </c>
      <c r="X13" s="187">
        <f>SUMIF($L$3:$L$47,10,$I$3:$I$47)</f>
        <v>0</v>
      </c>
      <c r="Y13" s="187">
        <f>SUMIF($L$3:$L$47,11,$I$3:$I$47)</f>
        <v>0</v>
      </c>
      <c r="Z13" s="187">
        <f>SUMIF($L$3:$L$47,12,$I$3:$I$47)</f>
        <v>0</v>
      </c>
      <c r="AA13" s="1220">
        <f>SUMIF($L$3:$L$47,0,$I$3:$I$47)</f>
        <v>0</v>
      </c>
      <c r="AB13" s="1221"/>
    </row>
    <row r="14" spans="1:28" ht="13.35" customHeight="1">
      <c r="A14" s="50" t="s">
        <v>5</v>
      </c>
      <c r="B14" s="141"/>
      <c r="C14" s="80"/>
      <c r="D14" s="93"/>
      <c r="E14" s="969"/>
      <c r="F14" s="385"/>
      <c r="G14" s="81"/>
      <c r="H14" s="82"/>
      <c r="I14" s="83" t="str">
        <f t="shared" si="2"/>
        <v/>
      </c>
      <c r="J14" s="282" t="str">
        <f t="shared" si="3"/>
        <v/>
      </c>
      <c r="K14" s="200">
        <v>11</v>
      </c>
      <c r="L14" s="133">
        <f t="shared" si="4"/>
        <v>0</v>
      </c>
      <c r="M14" s="135" t="s">
        <v>5</v>
      </c>
      <c r="O14" s="1213">
        <f>SUM(O13:Z13)</f>
        <v>0</v>
      </c>
      <c r="P14" s="1214"/>
      <c r="Q14" s="1214"/>
      <c r="R14" s="1214"/>
      <c r="S14" s="1214"/>
      <c r="T14" s="1214"/>
      <c r="U14" s="1214"/>
      <c r="V14" s="1214"/>
      <c r="W14" s="1214"/>
      <c r="X14" s="1214"/>
      <c r="Y14" s="1214"/>
      <c r="Z14" s="1215"/>
      <c r="AA14" s="1222">
        <f>SUM(O13:Z13)+AA13</f>
        <v>0</v>
      </c>
      <c r="AB14" s="1223"/>
    </row>
    <row r="15" spans="1:28" ht="13.35" customHeight="1">
      <c r="A15" s="50" t="s">
        <v>5</v>
      </c>
      <c r="B15" s="141"/>
      <c r="C15" s="260"/>
      <c r="D15" s="93"/>
      <c r="E15" s="969"/>
      <c r="F15" s="385"/>
      <c r="G15" s="81"/>
      <c r="H15" s="82"/>
      <c r="I15" s="83" t="str">
        <f t="shared" si="2"/>
        <v/>
      </c>
      <c r="J15" s="282" t="str">
        <f t="shared" si="3"/>
        <v/>
      </c>
      <c r="K15" s="200">
        <v>12</v>
      </c>
      <c r="L15" s="133">
        <f t="shared" si="4"/>
        <v>0</v>
      </c>
      <c r="M15" s="135" t="s">
        <v>5</v>
      </c>
    </row>
    <row r="16" spans="1:28" ht="13.35" customHeight="1">
      <c r="A16" s="50" t="s">
        <v>5</v>
      </c>
      <c r="B16" s="141"/>
      <c r="C16" s="80"/>
      <c r="D16" s="93"/>
      <c r="E16" s="969"/>
      <c r="F16" s="385"/>
      <c r="G16" s="81"/>
      <c r="H16" s="82"/>
      <c r="I16" s="83" t="str">
        <f t="shared" si="2"/>
        <v/>
      </c>
      <c r="J16" s="282" t="str">
        <f t="shared" si="3"/>
        <v/>
      </c>
      <c r="K16" s="200">
        <v>13</v>
      </c>
      <c r="L16" s="133">
        <f t="shared" si="4"/>
        <v>0</v>
      </c>
      <c r="M16" s="135" t="s">
        <v>5</v>
      </c>
      <c r="O16" s="204" t="s">
        <v>36</v>
      </c>
      <c r="P16" s="204" t="s">
        <v>37</v>
      </c>
      <c r="Q16" s="204" t="s">
        <v>38</v>
      </c>
      <c r="R16" s="204" t="s">
        <v>39</v>
      </c>
      <c r="S16" s="204" t="s">
        <v>40</v>
      </c>
      <c r="T16" s="204" t="s">
        <v>41</v>
      </c>
      <c r="U16" s="204" t="s">
        <v>42</v>
      </c>
      <c r="V16" s="204" t="s">
        <v>43</v>
      </c>
      <c r="W16" s="204" t="s">
        <v>44</v>
      </c>
      <c r="X16" s="204" t="s">
        <v>45</v>
      </c>
      <c r="Y16" s="204" t="s">
        <v>46</v>
      </c>
      <c r="Z16" s="204" t="s">
        <v>47</v>
      </c>
      <c r="AA16" s="220">
        <f>IF(O18+AA17&lt;&gt;J48,1,0)</f>
        <v>0</v>
      </c>
    </row>
    <row r="17" spans="1:28" ht="13.35" customHeight="1" thickBot="1">
      <c r="A17" s="50" t="s">
        <v>5</v>
      </c>
      <c r="B17" s="141"/>
      <c r="C17" s="80"/>
      <c r="D17" s="93"/>
      <c r="E17" s="969"/>
      <c r="F17" s="385"/>
      <c r="G17" s="81"/>
      <c r="H17" s="82"/>
      <c r="I17" s="83" t="str">
        <f t="shared" si="2"/>
        <v/>
      </c>
      <c r="J17" s="282" t="str">
        <f t="shared" si="3"/>
        <v/>
      </c>
      <c r="K17" s="200">
        <v>14</v>
      </c>
      <c r="L17" s="133">
        <f t="shared" si="4"/>
        <v>0</v>
      </c>
      <c r="M17" s="135" t="s">
        <v>5</v>
      </c>
      <c r="O17" s="202">
        <f>SUMIF($L$3:$L$47,1,$J$3:$J$47)</f>
        <v>0</v>
      </c>
      <c r="P17" s="202">
        <f>SUMIF($L$3:$L$47,2,$J$3:$J$47)</f>
        <v>0</v>
      </c>
      <c r="Q17" s="202">
        <f>SUMIF($L$3:$L$47,3,$J$3:$J$47)</f>
        <v>0</v>
      </c>
      <c r="R17" s="202">
        <f>SUMIF($L$3:$L$47,4,$J$3:$J$47)</f>
        <v>0</v>
      </c>
      <c r="S17" s="202">
        <f>SUMIF($L$3:$L$47,5,$J$3:$J$47)</f>
        <v>0</v>
      </c>
      <c r="T17" s="202">
        <f>SUMIF($L$3:$L$47,6,$J$3:$J$47)</f>
        <v>0</v>
      </c>
      <c r="U17" s="202">
        <f>SUMIF($L$3:$L$47,7,$J$3:$J$47)</f>
        <v>0</v>
      </c>
      <c r="V17" s="202">
        <f>SUMIF($L$3:$L$47,8,$J$3:$J$47)</f>
        <v>0</v>
      </c>
      <c r="W17" s="202">
        <f>SUMIF($L$3:$L$47,9,$J$3:$J$47)</f>
        <v>0</v>
      </c>
      <c r="X17" s="202">
        <f>SUMIF($L$3:$L$47,10,$J$3:$J$47)</f>
        <v>0</v>
      </c>
      <c r="Y17" s="202">
        <f>SUMIF($L$3:$L$47,11,$J$3:$J$47)</f>
        <v>0</v>
      </c>
      <c r="Z17" s="202">
        <f>SUMIF($L$3:$L$47,12,$J$3:$J$47)</f>
        <v>0</v>
      </c>
      <c r="AA17" s="1220">
        <f>SUMIF($L$3:$L$47,0,$J$3:$J$47)</f>
        <v>0</v>
      </c>
      <c r="AB17" s="1221"/>
    </row>
    <row r="18" spans="1:28" ht="13.35" customHeight="1">
      <c r="A18" s="50" t="s">
        <v>5</v>
      </c>
      <c r="B18" s="141"/>
      <c r="C18" s="80"/>
      <c r="D18" s="93"/>
      <c r="E18" s="969"/>
      <c r="F18" s="385"/>
      <c r="G18" s="81"/>
      <c r="H18" s="82"/>
      <c r="I18" s="83" t="str">
        <f t="shared" si="2"/>
        <v/>
      </c>
      <c r="J18" s="282" t="str">
        <f t="shared" si="3"/>
        <v/>
      </c>
      <c r="K18" s="200">
        <v>15</v>
      </c>
      <c r="L18" s="133">
        <f t="shared" si="4"/>
        <v>0</v>
      </c>
      <c r="M18" s="135" t="s">
        <v>5</v>
      </c>
      <c r="O18" s="1216">
        <f>SUM(O17:Z17)</f>
        <v>0</v>
      </c>
      <c r="P18" s="1217"/>
      <c r="Q18" s="1217"/>
      <c r="R18" s="1217"/>
      <c r="S18" s="1217"/>
      <c r="T18" s="1217"/>
      <c r="U18" s="1217"/>
      <c r="V18" s="1217"/>
      <c r="W18" s="1217"/>
      <c r="X18" s="1217"/>
      <c r="Y18" s="1217"/>
      <c r="Z18" s="1218"/>
      <c r="AA18" s="1222">
        <f>SUM(O17:Z17)+AA17</f>
        <v>0</v>
      </c>
      <c r="AB18" s="1223"/>
    </row>
    <row r="19" spans="1:28" ht="13.35" customHeight="1">
      <c r="A19" s="50" t="s">
        <v>5</v>
      </c>
      <c r="B19" s="141"/>
      <c r="C19" s="80"/>
      <c r="D19" s="93"/>
      <c r="E19" s="969"/>
      <c r="F19" s="385"/>
      <c r="G19" s="81"/>
      <c r="H19" s="82"/>
      <c r="I19" s="83" t="str">
        <f t="shared" si="2"/>
        <v/>
      </c>
      <c r="J19" s="282" t="str">
        <f t="shared" si="3"/>
        <v/>
      </c>
      <c r="K19" s="200">
        <v>16</v>
      </c>
      <c r="L19" s="133">
        <f t="shared" si="4"/>
        <v>0</v>
      </c>
      <c r="M19" s="135" t="s">
        <v>5</v>
      </c>
    </row>
    <row r="20" spans="1:28" ht="13.35" customHeight="1">
      <c r="A20" s="50" t="s">
        <v>5</v>
      </c>
      <c r="B20" s="141"/>
      <c r="C20" s="80"/>
      <c r="D20" s="93"/>
      <c r="E20" s="969"/>
      <c r="F20" s="385"/>
      <c r="G20" s="81"/>
      <c r="H20" s="82"/>
      <c r="I20" s="83" t="str">
        <f t="shared" si="2"/>
        <v/>
      </c>
      <c r="J20" s="282" t="str">
        <f t="shared" si="3"/>
        <v/>
      </c>
      <c r="K20" s="200">
        <v>17</v>
      </c>
      <c r="L20" s="133">
        <f t="shared" si="4"/>
        <v>0</v>
      </c>
      <c r="M20" s="135" t="s">
        <v>5</v>
      </c>
    </row>
    <row r="21" spans="1:28" ht="13.35" customHeight="1">
      <c r="A21" s="50" t="s">
        <v>5</v>
      </c>
      <c r="B21" s="141"/>
      <c r="C21" s="80"/>
      <c r="D21" s="93"/>
      <c r="E21" s="969"/>
      <c r="F21" s="385"/>
      <c r="G21" s="81"/>
      <c r="H21" s="82"/>
      <c r="I21" s="83" t="str">
        <f t="shared" si="2"/>
        <v/>
      </c>
      <c r="J21" s="282" t="str">
        <f t="shared" si="3"/>
        <v/>
      </c>
      <c r="K21" s="200">
        <v>18</v>
      </c>
      <c r="L21" s="133">
        <f t="shared" si="4"/>
        <v>0</v>
      </c>
      <c r="M21" s="135" t="s">
        <v>5</v>
      </c>
    </row>
    <row r="22" spans="1:28" ht="13.35" customHeight="1">
      <c r="A22" s="50" t="s">
        <v>5</v>
      </c>
      <c r="B22" s="141"/>
      <c r="C22" s="80"/>
      <c r="D22" s="93"/>
      <c r="E22" s="969"/>
      <c r="F22" s="385"/>
      <c r="G22" s="81"/>
      <c r="H22" s="82"/>
      <c r="I22" s="83" t="str">
        <f t="shared" si="2"/>
        <v/>
      </c>
      <c r="J22" s="282" t="str">
        <f t="shared" si="3"/>
        <v/>
      </c>
      <c r="K22" s="200">
        <v>19</v>
      </c>
      <c r="L22" s="133">
        <f t="shared" si="4"/>
        <v>0</v>
      </c>
      <c r="M22" s="135" t="s">
        <v>5</v>
      </c>
    </row>
    <row r="23" spans="1:28" ht="13.35" customHeight="1">
      <c r="A23" s="50" t="s">
        <v>5</v>
      </c>
      <c r="B23" s="141"/>
      <c r="C23" s="80"/>
      <c r="D23" s="94"/>
      <c r="E23" s="969"/>
      <c r="F23" s="385"/>
      <c r="G23" s="81"/>
      <c r="H23" s="82"/>
      <c r="I23" s="83" t="str">
        <f t="shared" si="2"/>
        <v/>
      </c>
      <c r="J23" s="282" t="str">
        <f t="shared" si="3"/>
        <v/>
      </c>
      <c r="K23" s="200">
        <v>20</v>
      </c>
      <c r="L23" s="133">
        <f t="shared" si="4"/>
        <v>0</v>
      </c>
      <c r="M23" s="135" t="s">
        <v>5</v>
      </c>
    </row>
    <row r="24" spans="1:28" ht="13.35" customHeight="1">
      <c r="A24" s="50" t="s">
        <v>5</v>
      </c>
      <c r="B24" s="141"/>
      <c r="C24" s="80"/>
      <c r="D24" s="93"/>
      <c r="E24" s="969"/>
      <c r="F24" s="385"/>
      <c r="G24" s="81"/>
      <c r="H24" s="82"/>
      <c r="I24" s="83" t="str">
        <f t="shared" si="2"/>
        <v/>
      </c>
      <c r="J24" s="282" t="str">
        <f t="shared" si="3"/>
        <v/>
      </c>
      <c r="K24" s="200">
        <v>21</v>
      </c>
      <c r="L24" s="133">
        <f t="shared" si="4"/>
        <v>0</v>
      </c>
      <c r="M24" s="135" t="s">
        <v>5</v>
      </c>
      <c r="O24" s="147"/>
      <c r="P24" s="147"/>
      <c r="Q24" s="147"/>
      <c r="R24" s="147"/>
      <c r="S24" s="147"/>
      <c r="T24" s="147"/>
      <c r="U24" s="147"/>
      <c r="V24" s="147"/>
      <c r="W24" s="147"/>
      <c r="X24" s="147"/>
      <c r="Y24" s="147"/>
      <c r="Z24" s="147"/>
      <c r="AA24" s="147"/>
    </row>
    <row r="25" spans="1:28" ht="13.35" customHeight="1">
      <c r="A25" s="50" t="s">
        <v>5</v>
      </c>
      <c r="B25" s="141"/>
      <c r="C25" s="80"/>
      <c r="D25" s="93"/>
      <c r="E25" s="969"/>
      <c r="F25" s="385"/>
      <c r="G25" s="81"/>
      <c r="H25" s="82"/>
      <c r="I25" s="83" t="str">
        <f t="shared" si="2"/>
        <v/>
      </c>
      <c r="J25" s="282" t="str">
        <f t="shared" si="3"/>
        <v/>
      </c>
      <c r="K25" s="200">
        <v>22</v>
      </c>
      <c r="L25" s="133">
        <f t="shared" si="4"/>
        <v>0</v>
      </c>
      <c r="M25" s="135" t="s">
        <v>5</v>
      </c>
      <c r="O25" s="147"/>
      <c r="P25" s="147"/>
      <c r="Q25" s="147"/>
      <c r="R25" s="147"/>
      <c r="S25" s="147"/>
      <c r="T25" s="147"/>
      <c r="U25" s="147"/>
      <c r="V25" s="147"/>
      <c r="W25" s="147"/>
      <c r="X25" s="147"/>
      <c r="Y25" s="147"/>
      <c r="Z25" s="147"/>
      <c r="AA25" s="147"/>
    </row>
    <row r="26" spans="1:28" ht="13.35" customHeight="1">
      <c r="A26" s="50" t="s">
        <v>5</v>
      </c>
      <c r="B26" s="141"/>
      <c r="C26" s="80"/>
      <c r="D26" s="93"/>
      <c r="E26" s="969"/>
      <c r="F26" s="385"/>
      <c r="G26" s="81"/>
      <c r="H26" s="82"/>
      <c r="I26" s="83" t="str">
        <f t="shared" si="2"/>
        <v/>
      </c>
      <c r="J26" s="282" t="str">
        <f t="shared" si="3"/>
        <v/>
      </c>
      <c r="K26" s="200">
        <v>23</v>
      </c>
      <c r="L26" s="133">
        <f t="shared" si="4"/>
        <v>0</v>
      </c>
      <c r="M26" s="135" t="s">
        <v>5</v>
      </c>
      <c r="O26" s="147"/>
      <c r="P26" s="147"/>
      <c r="Q26" s="147"/>
      <c r="R26" s="147"/>
      <c r="S26" s="147"/>
      <c r="T26" s="147"/>
      <c r="U26" s="147"/>
      <c r="V26" s="147"/>
      <c r="W26" s="147"/>
      <c r="X26" s="147"/>
      <c r="Y26" s="147"/>
      <c r="Z26" s="147"/>
      <c r="AA26" s="147"/>
    </row>
    <row r="27" spans="1:28" ht="13.35" customHeight="1">
      <c r="A27" s="50" t="s">
        <v>5</v>
      </c>
      <c r="B27" s="141"/>
      <c r="C27" s="80"/>
      <c r="D27" s="93"/>
      <c r="E27" s="969"/>
      <c r="F27" s="385"/>
      <c r="G27" s="81"/>
      <c r="H27" s="82"/>
      <c r="I27" s="83" t="str">
        <f t="shared" si="2"/>
        <v/>
      </c>
      <c r="J27" s="282" t="str">
        <f t="shared" si="3"/>
        <v/>
      </c>
      <c r="K27" s="200">
        <v>24</v>
      </c>
      <c r="L27" s="133">
        <f t="shared" si="4"/>
        <v>0</v>
      </c>
      <c r="M27" s="135" t="s">
        <v>5</v>
      </c>
    </row>
    <row r="28" spans="1:28" ht="13.35" customHeight="1">
      <c r="A28" s="50" t="s">
        <v>5</v>
      </c>
      <c r="B28" s="141"/>
      <c r="C28" s="80"/>
      <c r="D28" s="93"/>
      <c r="E28" s="969"/>
      <c r="F28" s="385"/>
      <c r="G28" s="81"/>
      <c r="H28" s="82"/>
      <c r="I28" s="83" t="str">
        <f t="shared" si="2"/>
        <v/>
      </c>
      <c r="J28" s="282" t="str">
        <f t="shared" si="3"/>
        <v/>
      </c>
      <c r="K28" s="200">
        <v>25</v>
      </c>
      <c r="L28" s="133">
        <f t="shared" si="4"/>
        <v>0</v>
      </c>
      <c r="M28" s="135" t="s">
        <v>5</v>
      </c>
    </row>
    <row r="29" spans="1:28" ht="13.35" customHeight="1">
      <c r="A29" s="50" t="s">
        <v>5</v>
      </c>
      <c r="B29" s="141"/>
      <c r="C29" s="80"/>
      <c r="D29" s="93"/>
      <c r="E29" s="969"/>
      <c r="F29" s="385"/>
      <c r="G29" s="81"/>
      <c r="H29" s="82"/>
      <c r="I29" s="83" t="str">
        <f t="shared" si="2"/>
        <v/>
      </c>
      <c r="J29" s="282" t="str">
        <f t="shared" si="3"/>
        <v/>
      </c>
      <c r="K29" s="200">
        <v>26</v>
      </c>
      <c r="L29" s="133">
        <f t="shared" si="4"/>
        <v>0</v>
      </c>
      <c r="M29" s="135" t="s">
        <v>5</v>
      </c>
    </row>
    <row r="30" spans="1:28" ht="13.35" customHeight="1">
      <c r="A30" s="50" t="s">
        <v>5</v>
      </c>
      <c r="B30" s="141"/>
      <c r="C30" s="80"/>
      <c r="D30" s="93"/>
      <c r="E30" s="969"/>
      <c r="F30" s="385"/>
      <c r="G30" s="81"/>
      <c r="H30" s="82"/>
      <c r="I30" s="83" t="str">
        <f t="shared" si="2"/>
        <v/>
      </c>
      <c r="J30" s="282" t="str">
        <f t="shared" si="3"/>
        <v/>
      </c>
      <c r="K30" s="200">
        <v>27</v>
      </c>
      <c r="L30" s="133">
        <f t="shared" si="4"/>
        <v>0</v>
      </c>
      <c r="M30" s="135" t="s">
        <v>5</v>
      </c>
      <c r="O30" s="147"/>
      <c r="P30" s="147"/>
      <c r="Q30" s="147"/>
      <c r="R30" s="147"/>
      <c r="S30" s="147"/>
      <c r="T30" s="147"/>
      <c r="U30" s="147"/>
      <c r="V30" s="147"/>
      <c r="W30" s="147"/>
      <c r="X30" s="147"/>
      <c r="Y30" s="147"/>
      <c r="Z30" s="147"/>
      <c r="AA30" s="147"/>
    </row>
    <row r="31" spans="1:28" ht="13.35" customHeight="1">
      <c r="A31" s="50" t="s">
        <v>5</v>
      </c>
      <c r="B31" s="141"/>
      <c r="C31" s="80"/>
      <c r="D31" s="93"/>
      <c r="E31" s="969"/>
      <c r="F31" s="385"/>
      <c r="G31" s="81"/>
      <c r="H31" s="82"/>
      <c r="I31" s="83" t="str">
        <f t="shared" si="2"/>
        <v/>
      </c>
      <c r="J31" s="282" t="str">
        <f t="shared" si="3"/>
        <v/>
      </c>
      <c r="K31" s="200">
        <v>28</v>
      </c>
      <c r="L31" s="133">
        <f t="shared" si="4"/>
        <v>0</v>
      </c>
      <c r="M31" s="135" t="s">
        <v>5</v>
      </c>
      <c r="O31" s="147"/>
      <c r="P31" s="147"/>
      <c r="Q31" s="147"/>
      <c r="R31" s="147"/>
      <c r="S31" s="147"/>
      <c r="T31" s="147"/>
      <c r="U31" s="147"/>
      <c r="V31" s="147"/>
      <c r="W31" s="147"/>
      <c r="X31" s="147"/>
      <c r="Y31" s="147"/>
      <c r="Z31" s="147"/>
      <c r="AA31" s="147"/>
    </row>
    <row r="32" spans="1:28" ht="13.35" customHeight="1">
      <c r="A32" s="50" t="s">
        <v>5</v>
      </c>
      <c r="B32" s="141"/>
      <c r="C32" s="80"/>
      <c r="D32" s="93"/>
      <c r="E32" s="969"/>
      <c r="F32" s="385"/>
      <c r="G32" s="81"/>
      <c r="H32" s="82"/>
      <c r="I32" s="83" t="str">
        <f t="shared" si="2"/>
        <v/>
      </c>
      <c r="J32" s="282" t="str">
        <f t="shared" si="3"/>
        <v/>
      </c>
      <c r="K32" s="200">
        <v>29</v>
      </c>
      <c r="L32" s="133">
        <f t="shared" si="4"/>
        <v>0</v>
      </c>
      <c r="M32" s="135" t="s">
        <v>5</v>
      </c>
      <c r="O32" s="147"/>
      <c r="P32" s="147"/>
      <c r="Q32" s="147"/>
      <c r="R32" s="147"/>
      <c r="S32" s="147"/>
      <c r="T32" s="147"/>
      <c r="U32" s="147"/>
      <c r="V32" s="147"/>
      <c r="W32" s="147"/>
      <c r="X32" s="147"/>
      <c r="Y32" s="147"/>
      <c r="Z32" s="147"/>
      <c r="AA32" s="147"/>
    </row>
    <row r="33" spans="1:27" ht="13.35" customHeight="1">
      <c r="A33" s="50" t="s">
        <v>5</v>
      </c>
      <c r="B33" s="141"/>
      <c r="C33" s="80"/>
      <c r="D33" s="93"/>
      <c r="E33" s="969"/>
      <c r="F33" s="385"/>
      <c r="G33" s="81"/>
      <c r="H33" s="82"/>
      <c r="I33" s="83" t="str">
        <f t="shared" si="2"/>
        <v/>
      </c>
      <c r="J33" s="282" t="str">
        <f t="shared" si="3"/>
        <v/>
      </c>
      <c r="K33" s="200">
        <v>30</v>
      </c>
      <c r="L33" s="133">
        <f t="shared" si="4"/>
        <v>0</v>
      </c>
      <c r="M33" s="135" t="s">
        <v>5</v>
      </c>
      <c r="O33" s="147"/>
      <c r="P33" s="147"/>
      <c r="Q33" s="147"/>
      <c r="R33" s="147"/>
      <c r="S33" s="147"/>
      <c r="T33" s="147"/>
      <c r="U33" s="147"/>
      <c r="V33" s="147"/>
      <c r="W33" s="147"/>
      <c r="X33" s="147"/>
      <c r="Y33" s="147"/>
      <c r="Z33" s="147"/>
      <c r="AA33" s="147"/>
    </row>
    <row r="34" spans="1:27" ht="13.35" customHeight="1">
      <c r="A34" s="50" t="s">
        <v>5</v>
      </c>
      <c r="B34" s="141"/>
      <c r="C34" s="80"/>
      <c r="D34" s="93"/>
      <c r="E34" s="969"/>
      <c r="F34" s="385"/>
      <c r="G34" s="81"/>
      <c r="H34" s="82"/>
      <c r="I34" s="83" t="str">
        <f t="shared" si="2"/>
        <v/>
      </c>
      <c r="J34" s="282" t="str">
        <f t="shared" si="3"/>
        <v/>
      </c>
      <c r="K34" s="200">
        <v>31</v>
      </c>
      <c r="L34" s="133">
        <f t="shared" si="4"/>
        <v>0</v>
      </c>
      <c r="M34" s="135" t="s">
        <v>5</v>
      </c>
      <c r="O34" s="147"/>
      <c r="P34" s="147"/>
      <c r="Q34" s="147"/>
      <c r="R34" s="147"/>
      <c r="S34" s="147"/>
      <c r="T34" s="147"/>
      <c r="U34" s="147"/>
      <c r="V34" s="147"/>
      <c r="W34" s="147"/>
      <c r="X34" s="147"/>
      <c r="Y34" s="147"/>
      <c r="Z34" s="147"/>
      <c r="AA34" s="147"/>
    </row>
    <row r="35" spans="1:27" ht="13.35" customHeight="1">
      <c r="A35" s="50" t="s">
        <v>5</v>
      </c>
      <c r="B35" s="141"/>
      <c r="C35" s="80"/>
      <c r="D35" s="93"/>
      <c r="E35" s="969"/>
      <c r="F35" s="385"/>
      <c r="G35" s="81"/>
      <c r="H35" s="82"/>
      <c r="I35" s="83" t="str">
        <f t="shared" si="2"/>
        <v/>
      </c>
      <c r="J35" s="282" t="str">
        <f t="shared" si="3"/>
        <v/>
      </c>
      <c r="K35" s="200">
        <v>32</v>
      </c>
      <c r="L35" s="133">
        <f t="shared" si="4"/>
        <v>0</v>
      </c>
      <c r="M35" s="135" t="s">
        <v>5</v>
      </c>
      <c r="O35" s="147"/>
      <c r="P35" s="147"/>
      <c r="Q35" s="147"/>
      <c r="R35" s="147"/>
      <c r="S35" s="147"/>
      <c r="T35" s="147"/>
      <c r="U35" s="147"/>
      <c r="V35" s="147"/>
      <c r="W35" s="147"/>
      <c r="X35" s="147"/>
      <c r="Y35" s="147"/>
      <c r="Z35" s="147"/>
      <c r="AA35" s="147"/>
    </row>
    <row r="36" spans="1:27" ht="13.35" customHeight="1">
      <c r="A36" s="50" t="s">
        <v>5</v>
      </c>
      <c r="B36" s="141"/>
      <c r="C36" s="80"/>
      <c r="D36" s="93"/>
      <c r="E36" s="969"/>
      <c r="F36" s="385"/>
      <c r="G36" s="81"/>
      <c r="H36" s="82"/>
      <c r="I36" s="83" t="str">
        <f t="shared" si="2"/>
        <v/>
      </c>
      <c r="J36" s="282" t="str">
        <f t="shared" si="3"/>
        <v/>
      </c>
      <c r="K36" s="200">
        <v>33</v>
      </c>
      <c r="L36" s="133">
        <f t="shared" si="4"/>
        <v>0</v>
      </c>
      <c r="M36" s="135" t="s">
        <v>5</v>
      </c>
      <c r="O36" s="147"/>
      <c r="P36" s="147"/>
      <c r="Q36" s="147"/>
      <c r="R36" s="147"/>
      <c r="S36" s="147"/>
      <c r="T36" s="147"/>
      <c r="U36" s="147"/>
      <c r="V36" s="147"/>
      <c r="W36" s="147"/>
      <c r="X36" s="147"/>
      <c r="Y36" s="147"/>
      <c r="Z36" s="147"/>
      <c r="AA36" s="147"/>
    </row>
    <row r="37" spans="1:27" ht="13.35" customHeight="1">
      <c r="A37" s="50" t="s">
        <v>5</v>
      </c>
      <c r="B37" s="141"/>
      <c r="C37" s="80"/>
      <c r="D37" s="93"/>
      <c r="E37" s="969"/>
      <c r="F37" s="385"/>
      <c r="G37" s="81"/>
      <c r="H37" s="82"/>
      <c r="I37" s="83" t="str">
        <f t="shared" si="2"/>
        <v/>
      </c>
      <c r="J37" s="282" t="str">
        <f t="shared" si="3"/>
        <v/>
      </c>
      <c r="K37" s="200">
        <v>34</v>
      </c>
      <c r="L37" s="133">
        <f t="shared" si="4"/>
        <v>0</v>
      </c>
      <c r="M37" s="135" t="s">
        <v>5</v>
      </c>
      <c r="O37" s="147"/>
      <c r="P37" s="147"/>
      <c r="Q37" s="147"/>
      <c r="R37" s="147"/>
      <c r="S37" s="147"/>
      <c r="T37" s="147"/>
      <c r="U37" s="147"/>
      <c r="V37" s="147"/>
      <c r="W37" s="147"/>
      <c r="X37" s="147"/>
      <c r="Y37" s="147"/>
      <c r="Z37" s="147"/>
      <c r="AA37" s="147"/>
    </row>
    <row r="38" spans="1:27" ht="13.35" customHeight="1">
      <c r="A38" s="50" t="s">
        <v>5</v>
      </c>
      <c r="B38" s="141"/>
      <c r="C38" s="80"/>
      <c r="D38" s="93"/>
      <c r="E38" s="969"/>
      <c r="F38" s="385"/>
      <c r="G38" s="81"/>
      <c r="H38" s="82"/>
      <c r="I38" s="83" t="str">
        <f t="shared" si="2"/>
        <v/>
      </c>
      <c r="J38" s="282" t="str">
        <f t="shared" si="3"/>
        <v/>
      </c>
      <c r="K38" s="200">
        <v>35</v>
      </c>
      <c r="L38" s="133">
        <f t="shared" si="4"/>
        <v>0</v>
      </c>
      <c r="M38" s="135" t="s">
        <v>5</v>
      </c>
      <c r="O38" s="147"/>
      <c r="P38" s="147"/>
      <c r="Q38" s="147"/>
      <c r="R38" s="147"/>
      <c r="S38" s="147"/>
      <c r="T38" s="147"/>
      <c r="U38" s="147"/>
      <c r="V38" s="147"/>
      <c r="W38" s="147"/>
      <c r="X38" s="147"/>
      <c r="Y38" s="147"/>
      <c r="Z38" s="147"/>
      <c r="AA38" s="147"/>
    </row>
    <row r="39" spans="1:27" ht="13.35" customHeight="1">
      <c r="A39" s="50" t="s">
        <v>5</v>
      </c>
      <c r="B39" s="141"/>
      <c r="C39" s="80"/>
      <c r="D39" s="93"/>
      <c r="E39" s="969"/>
      <c r="F39" s="385"/>
      <c r="G39" s="81"/>
      <c r="H39" s="82"/>
      <c r="I39" s="83" t="str">
        <f t="shared" si="2"/>
        <v/>
      </c>
      <c r="J39" s="282" t="str">
        <f t="shared" si="3"/>
        <v/>
      </c>
      <c r="K39" s="200">
        <v>36</v>
      </c>
      <c r="L39" s="133">
        <f t="shared" si="4"/>
        <v>0</v>
      </c>
      <c r="M39" s="135" t="s">
        <v>5</v>
      </c>
      <c r="O39" s="147"/>
      <c r="P39" s="147"/>
      <c r="Q39" s="147"/>
      <c r="R39" s="147"/>
      <c r="S39" s="147"/>
      <c r="T39" s="147"/>
      <c r="U39" s="147"/>
      <c r="V39" s="147"/>
      <c r="W39" s="147"/>
      <c r="X39" s="147"/>
      <c r="Y39" s="147"/>
      <c r="Z39" s="147"/>
      <c r="AA39" s="147"/>
    </row>
    <row r="40" spans="1:27" ht="13.35" customHeight="1">
      <c r="A40" s="50" t="s">
        <v>5</v>
      </c>
      <c r="B40" s="141"/>
      <c r="C40" s="80"/>
      <c r="D40" s="93"/>
      <c r="E40" s="969"/>
      <c r="F40" s="385"/>
      <c r="G40" s="81"/>
      <c r="H40" s="82"/>
      <c r="I40" s="83" t="str">
        <f t="shared" si="2"/>
        <v/>
      </c>
      <c r="J40" s="282" t="str">
        <f t="shared" si="3"/>
        <v/>
      </c>
      <c r="K40" s="200">
        <v>37</v>
      </c>
      <c r="L40" s="133">
        <f t="shared" si="4"/>
        <v>0</v>
      </c>
      <c r="M40" s="135" t="s">
        <v>5</v>
      </c>
      <c r="AA40" s="147"/>
    </row>
    <row r="41" spans="1:27" ht="13.35" customHeight="1">
      <c r="A41" s="50" t="s">
        <v>5</v>
      </c>
      <c r="B41" s="141"/>
      <c r="C41" s="80"/>
      <c r="D41" s="93"/>
      <c r="E41" s="969"/>
      <c r="F41" s="385"/>
      <c r="G41" s="81"/>
      <c r="H41" s="82"/>
      <c r="I41" s="83" t="str">
        <f t="shared" si="2"/>
        <v/>
      </c>
      <c r="J41" s="282" t="str">
        <f t="shared" si="3"/>
        <v/>
      </c>
      <c r="K41" s="200">
        <v>38</v>
      </c>
      <c r="L41" s="133">
        <f t="shared" si="4"/>
        <v>0</v>
      </c>
      <c r="M41" s="135" t="s">
        <v>5</v>
      </c>
      <c r="O41" s="147"/>
      <c r="P41" s="147"/>
      <c r="Q41" s="147"/>
      <c r="R41" s="147"/>
      <c r="S41" s="147"/>
      <c r="T41" s="147"/>
      <c r="U41" s="147"/>
      <c r="V41" s="147"/>
      <c r="W41" s="147"/>
      <c r="X41" s="147"/>
      <c r="Y41" s="147"/>
      <c r="Z41" s="147"/>
      <c r="AA41" s="147"/>
    </row>
    <row r="42" spans="1:27" ht="13.35" customHeight="1">
      <c r="A42" s="50" t="s">
        <v>5</v>
      </c>
      <c r="B42" s="141"/>
      <c r="C42" s="80"/>
      <c r="D42" s="93"/>
      <c r="E42" s="969"/>
      <c r="F42" s="385"/>
      <c r="G42" s="81"/>
      <c r="H42" s="82"/>
      <c r="I42" s="83" t="str">
        <f t="shared" si="2"/>
        <v/>
      </c>
      <c r="J42" s="282" t="str">
        <f t="shared" si="3"/>
        <v/>
      </c>
      <c r="K42" s="200">
        <v>39</v>
      </c>
      <c r="L42" s="133">
        <f t="shared" si="4"/>
        <v>0</v>
      </c>
      <c r="M42" s="135" t="s">
        <v>5</v>
      </c>
      <c r="O42" s="147"/>
      <c r="P42" s="147"/>
      <c r="Q42" s="147"/>
      <c r="R42" s="147"/>
      <c r="S42" s="147"/>
      <c r="T42" s="147"/>
      <c r="U42" s="147"/>
      <c r="V42" s="147"/>
      <c r="W42" s="147"/>
      <c r="X42" s="147"/>
      <c r="Y42" s="147"/>
      <c r="Z42" s="147"/>
      <c r="AA42" s="147"/>
    </row>
    <row r="43" spans="1:27" ht="13.35" customHeight="1">
      <c r="A43" s="50" t="s">
        <v>5</v>
      </c>
      <c r="B43" s="141"/>
      <c r="C43" s="80"/>
      <c r="D43" s="93"/>
      <c r="E43" s="969"/>
      <c r="F43" s="385"/>
      <c r="G43" s="81"/>
      <c r="H43" s="82"/>
      <c r="I43" s="83" t="str">
        <f t="shared" si="2"/>
        <v/>
      </c>
      <c r="J43" s="282" t="str">
        <f t="shared" si="3"/>
        <v/>
      </c>
      <c r="K43" s="200">
        <v>40</v>
      </c>
      <c r="L43" s="133">
        <f t="shared" si="4"/>
        <v>0</v>
      </c>
      <c r="M43" s="135" t="s">
        <v>5</v>
      </c>
      <c r="O43" s="147"/>
      <c r="P43" s="147"/>
      <c r="Q43" s="147"/>
      <c r="R43" s="147"/>
      <c r="S43" s="147"/>
      <c r="T43" s="147"/>
      <c r="U43" s="147"/>
      <c r="V43" s="147"/>
      <c r="W43" s="147"/>
      <c r="X43" s="147"/>
      <c r="Y43" s="147"/>
      <c r="Z43" s="147"/>
      <c r="AA43" s="147"/>
    </row>
    <row r="44" spans="1:27" ht="13.35" customHeight="1">
      <c r="A44" s="50" t="s">
        <v>5</v>
      </c>
      <c r="B44" s="141"/>
      <c r="C44" s="80"/>
      <c r="D44" s="93"/>
      <c r="E44" s="969"/>
      <c r="F44" s="385"/>
      <c r="G44" s="81"/>
      <c r="H44" s="82"/>
      <c r="I44" s="83" t="str">
        <f t="shared" si="2"/>
        <v/>
      </c>
      <c r="J44" s="282" t="str">
        <f t="shared" si="3"/>
        <v/>
      </c>
      <c r="K44" s="200">
        <v>41</v>
      </c>
      <c r="L44" s="133">
        <f t="shared" si="4"/>
        <v>0</v>
      </c>
      <c r="M44" s="135" t="s">
        <v>5</v>
      </c>
      <c r="O44" s="147"/>
      <c r="P44" s="147"/>
      <c r="Q44" s="147"/>
      <c r="R44" s="147"/>
      <c r="S44" s="147"/>
      <c r="T44" s="147"/>
      <c r="U44" s="147"/>
      <c r="V44" s="147"/>
      <c r="W44" s="147"/>
      <c r="X44" s="147"/>
      <c r="Y44" s="147"/>
      <c r="Z44" s="147"/>
      <c r="AA44" s="147"/>
    </row>
    <row r="45" spans="1:27" ht="13.35" customHeight="1">
      <c r="A45" s="50" t="s">
        <v>5</v>
      </c>
      <c r="B45" s="141"/>
      <c r="C45" s="80"/>
      <c r="D45" s="93"/>
      <c r="E45" s="969"/>
      <c r="F45" s="385"/>
      <c r="G45" s="81"/>
      <c r="H45" s="82"/>
      <c r="I45" s="83" t="str">
        <f t="shared" ref="I45:I46" si="7">IF(G45&lt;&gt;"",+G45-G45/(1+H45/100),"")</f>
        <v/>
      </c>
      <c r="J45" s="282" t="str">
        <f t="shared" ref="J45:J46" si="8">IF(G45&lt;&gt;0,+G45-I45,"")</f>
        <v/>
      </c>
      <c r="K45" s="200">
        <v>44</v>
      </c>
      <c r="L45" s="133">
        <f t="shared" ref="L45:L46" si="9">IF(B45&lt;$O$2,0,IF(B45&lt;$P$2,1,IF(B45&lt;$Q$2,2,IF(B45&lt;$R$2,3,IF(B45&lt;$S$2,4,IF(B45&lt;$T$2,5,IF(B45&lt;$U$2,6,IF(B45&lt;$V$2,7,IF(B45&lt;$W$2,8,IF(B45&lt;$X$2,9,IF(B45&lt;$Y$2,10,IF(B45&lt;$Z$2,11,IF(B45&lt;=$Z$3,12,0)))))))))))))</f>
        <v>0</v>
      </c>
      <c r="M45" s="135" t="s">
        <v>5</v>
      </c>
    </row>
    <row r="46" spans="1:27" ht="13.35" customHeight="1" thickBot="1">
      <c r="A46" s="50" t="s">
        <v>5</v>
      </c>
      <c r="B46" s="141"/>
      <c r="C46" s="80"/>
      <c r="D46" s="93"/>
      <c r="E46" s="969"/>
      <c r="F46" s="385"/>
      <c r="G46" s="81"/>
      <c r="H46" s="82"/>
      <c r="I46" s="83" t="str">
        <f t="shared" si="7"/>
        <v/>
      </c>
      <c r="J46" s="282" t="str">
        <f t="shared" si="8"/>
        <v/>
      </c>
      <c r="K46" s="200">
        <v>45</v>
      </c>
      <c r="L46" s="133">
        <f t="shared" si="9"/>
        <v>0</v>
      </c>
      <c r="M46" s="135" t="s">
        <v>5</v>
      </c>
    </row>
    <row r="47" spans="1:27" ht="12" customHeight="1" thickTop="1" thickBot="1">
      <c r="A47" s="391" t="s">
        <v>283</v>
      </c>
      <c r="B47" s="1244" t="str">
        <f>IF($A$48=0,"^ Zeile einfügen","bis hierher ziehen!")</f>
        <v>^ Zeile einfügen</v>
      </c>
      <c r="C47" s="1244"/>
      <c r="D47" s="392" t="s">
        <v>5</v>
      </c>
      <c r="E47" s="393" t="s">
        <v>5</v>
      </c>
      <c r="F47" s="394" t="s">
        <v>5</v>
      </c>
      <c r="G47" s="394"/>
      <c r="H47" s="395"/>
      <c r="I47" s="396"/>
      <c r="J47" s="425"/>
      <c r="K47" s="201">
        <v>0</v>
      </c>
      <c r="L47" s="185" t="s">
        <v>5</v>
      </c>
      <c r="M47" s="398" t="s">
        <v>283</v>
      </c>
    </row>
    <row r="48" spans="1:27" ht="12" customHeight="1" thickTop="1" thickBot="1">
      <c r="A48" s="390">
        <f>COUNTBLANK(A3:A47)+A49</f>
        <v>0</v>
      </c>
      <c r="B48" s="193" t="str">
        <f>+EÜR!C12</f>
        <v>ü</v>
      </c>
      <c r="C48" s="194" t="s">
        <v>5</v>
      </c>
      <c r="D48" s="194" t="s">
        <v>5</v>
      </c>
      <c r="E48" s="195" t="s">
        <v>5</v>
      </c>
      <c r="F48" s="196" t="s">
        <v>5</v>
      </c>
      <c r="G48" s="197">
        <f>SUBTOTAL(9,G3:G47)</f>
        <v>0</v>
      </c>
      <c r="H48" s="1242">
        <f>SUBTOTAL(9,I3:I47)</f>
        <v>0</v>
      </c>
      <c r="I48" s="1243">
        <f>SUBTOTAL(9,I3:I47)</f>
        <v>0</v>
      </c>
      <c r="J48" s="1233">
        <f>G48-H48</f>
        <v>0</v>
      </c>
      <c r="K48" s="1234"/>
      <c r="L48" s="1235"/>
      <c r="M48" s="135" t="s">
        <v>5</v>
      </c>
    </row>
    <row r="49" spans="1:14" ht="12" customHeight="1" thickTop="1" thickBot="1">
      <c r="A49" s="390">
        <f>IF(ISERROR(J47),1,0)</f>
        <v>0</v>
      </c>
      <c r="B49" s="192">
        <f>J48-G49-E49-C49</f>
        <v>0</v>
      </c>
      <c r="C49" s="1239">
        <f>SUMIF(F4:F47,"Kreditkarte",G4:G47)</f>
        <v>0</v>
      </c>
      <c r="D49" s="1239"/>
      <c r="E49" s="1240">
        <f>SUMIF(F4:F47,"Konto",G4:G47)</f>
        <v>0</v>
      </c>
      <c r="F49" s="1240"/>
      <c r="G49" s="1241">
        <f>SUMIF(F4:F47,"Geldbeutel",G4:G47)</f>
        <v>0</v>
      </c>
      <c r="H49" s="1241"/>
      <c r="I49" s="1241"/>
      <c r="J49" s="1236"/>
      <c r="K49" s="1237"/>
      <c r="L49" s="1238"/>
      <c r="M49" s="135" t="s">
        <v>5</v>
      </c>
    </row>
    <row r="50" spans="1:14" s="15" customFormat="1" ht="5.25" customHeight="1" thickTop="1">
      <c r="A50" s="36"/>
      <c r="B50" s="2"/>
      <c r="C50" s="3"/>
      <c r="D50" s="3"/>
      <c r="E50" s="1"/>
      <c r="G50" s="16"/>
      <c r="H50" s="16"/>
      <c r="I50" s="17"/>
      <c r="J50" s="18"/>
      <c r="K50" s="18"/>
      <c r="L50" s="31"/>
      <c r="N50" s="148"/>
    </row>
    <row r="51" spans="1:14">
      <c r="A51" s="36"/>
    </row>
  </sheetData>
  <sheetProtection formatCells="0" insertRows="0" deleteRows="0" selectLockedCells="1" sort="0" autoFilter="0"/>
  <mergeCells count="18">
    <mergeCell ref="C2:I2"/>
    <mergeCell ref="J2:L2"/>
    <mergeCell ref="C49:D49"/>
    <mergeCell ref="E49:F49"/>
    <mergeCell ref="G49:I49"/>
    <mergeCell ref="H48:I48"/>
    <mergeCell ref="B47:C47"/>
    <mergeCell ref="O18:Z18"/>
    <mergeCell ref="AA18:AB18"/>
    <mergeCell ref="J48:L49"/>
    <mergeCell ref="O14:Z14"/>
    <mergeCell ref="AA4:AB4"/>
    <mergeCell ref="AA14:AB14"/>
    <mergeCell ref="AA9:AB9"/>
    <mergeCell ref="O10:Z10"/>
    <mergeCell ref="O11:Z11"/>
    <mergeCell ref="AA13:AB13"/>
    <mergeCell ref="AA17:AB17"/>
  </mergeCells>
  <conditionalFormatting sqref="A4:A46">
    <cfRule type="expression" dxfId="1596" priority="20">
      <formula>ISERROR(J4)</formula>
    </cfRule>
    <cfRule type="cellIs" dxfId="1595" priority="21" operator="equal">
      <formula>""</formula>
    </cfRule>
  </conditionalFormatting>
  <conditionalFormatting sqref="A47:C47">
    <cfRule type="expression" dxfId="1594" priority="5">
      <formula>$A$48&lt;&gt;0</formula>
    </cfRule>
  </conditionalFormatting>
  <conditionalFormatting sqref="B2">
    <cfRule type="expression" dxfId="1593" priority="47" stopIfTrue="1">
      <formula>$B$48="x"</formula>
    </cfRule>
  </conditionalFormatting>
  <conditionalFormatting sqref="B4:B46">
    <cfRule type="cellIs" dxfId="1591" priority="34" operator="equal">
      <formula>""</formula>
    </cfRule>
  </conditionalFormatting>
  <conditionalFormatting sqref="B48">
    <cfRule type="cellIs" dxfId="1589" priority="72" operator="equal">
      <formula>"y"</formula>
    </cfRule>
  </conditionalFormatting>
  <conditionalFormatting sqref="B4:I46">
    <cfRule type="expression" dxfId="1588" priority="30">
      <formula>$B$1="x"</formula>
    </cfRule>
  </conditionalFormatting>
  <conditionalFormatting sqref="B3:J3 J4:J46">
    <cfRule type="expression" dxfId="1587" priority="11011">
      <formula>$B$48="x"</formula>
    </cfRule>
  </conditionalFormatting>
  <conditionalFormatting sqref="B3:L3">
    <cfRule type="expression" dxfId="1586" priority="66">
      <formula>$B$48="x"</formula>
    </cfRule>
  </conditionalFormatting>
  <conditionalFormatting sqref="C4:D46">
    <cfRule type="expression" dxfId="1585" priority="37">
      <formula>AND($B4&lt;&gt;"",$C4="")</formula>
    </cfRule>
  </conditionalFormatting>
  <conditionalFormatting sqref="C49:I49">
    <cfRule type="cellIs" dxfId="1584" priority="71" stopIfTrue="1" operator="lessThan">
      <formula>0</formula>
    </cfRule>
    <cfRule type="cellIs" dxfId="1583" priority="69" stopIfTrue="1" operator="greaterThanOrEqual">
      <formula>0</formula>
    </cfRule>
  </conditionalFormatting>
  <conditionalFormatting sqref="D47:J47">
    <cfRule type="expression" dxfId="1582" priority="7">
      <formula>$A$48&lt;&gt;0</formula>
    </cfRule>
  </conditionalFormatting>
  <conditionalFormatting sqref="H4:H46">
    <cfRule type="expression" dxfId="1581" priority="33">
      <formula>AND(G4&lt;&gt;"",H4="",$I$1&lt;&gt;"x")</formula>
    </cfRule>
  </conditionalFormatting>
  <conditionalFormatting sqref="H4:I46">
    <cfRule type="expression" dxfId="1580" priority="31">
      <formula>AND($I4&lt;&gt;0,$I$1&lt;&gt;"ü")</formula>
    </cfRule>
    <cfRule type="expression" dxfId="1579" priority="32">
      <formula>$I$1&lt;&gt;"ü"</formula>
    </cfRule>
  </conditionalFormatting>
  <conditionalFormatting sqref="J4:L46">
    <cfRule type="expression" dxfId="1577" priority="17769">
      <formula>$B$48="x"</formula>
    </cfRule>
  </conditionalFormatting>
  <conditionalFormatting sqref="J48:L48 C49:L49 C48:H48">
    <cfRule type="expression" dxfId="1576" priority="68">
      <formula>$B$48="x"</formula>
    </cfRule>
  </conditionalFormatting>
  <conditionalFormatting sqref="J48:L49">
    <cfRule type="expression" dxfId="1575" priority="67">
      <formula>AND($B$48="x",$J$48&lt;&gt;0)</formula>
    </cfRule>
  </conditionalFormatting>
  <conditionalFormatting sqref="M3">
    <cfRule type="cellIs" dxfId="1574" priority="29" operator="equal">
      <formula>""</formula>
    </cfRule>
  </conditionalFormatting>
  <conditionalFormatting sqref="M4:M46">
    <cfRule type="cellIs" dxfId="1573" priority="28" operator="equal">
      <formula>""</formula>
    </cfRule>
    <cfRule type="expression" dxfId="1572" priority="27">
      <formula>ISERROR(J4)</formula>
    </cfRule>
  </conditionalFormatting>
  <conditionalFormatting sqref="M47">
    <cfRule type="expression" dxfId="1571" priority="6">
      <formula>$A$48&lt;&gt;0</formula>
    </cfRule>
  </conditionalFormatting>
  <conditionalFormatting sqref="M47:M49">
    <cfRule type="cellIs" dxfId="1570" priority="9" operator="equal">
      <formula>""</formula>
    </cfRule>
  </conditionalFormatting>
  <conditionalFormatting sqref="N10:AB10 O11:AB49">
    <cfRule type="expression" dxfId="1569" priority="4">
      <formula>$N$2=0</formula>
    </cfRule>
  </conditionalFormatting>
  <conditionalFormatting sqref="O11:Z11">
    <cfRule type="cellIs" dxfId="1568" priority="53" operator="equal">
      <formula>"Fehler!"</formula>
    </cfRule>
  </conditionalFormatting>
  <conditionalFormatting sqref="O4:AA4">
    <cfRule type="expression" dxfId="1564" priority="46">
      <formula>$N$2=0</formula>
    </cfRule>
  </conditionalFormatting>
  <conditionalFormatting sqref="O2:AB3">
    <cfRule type="expression" dxfId="1562" priority="1">
      <formula>$N$2=0</formula>
    </cfRule>
  </conditionalFormatting>
  <conditionalFormatting sqref="O5:AB8 O9:AA9">
    <cfRule type="expression" dxfId="1561" priority="52">
      <formula>$N$2=0</formula>
    </cfRule>
  </conditionalFormatting>
  <dataValidations count="2">
    <dataValidation type="list" allowBlank="1" showInputMessage="1" showErrorMessage="1" sqref="F4:F46" xr:uid="{7ED828E6-C5EC-4752-96D2-ABFF0BB5978A}">
      <formula1>"Konto,Geldbeutel,Kreditkarte,x"</formula1>
    </dataValidation>
    <dataValidation type="list" allowBlank="1" showInputMessage="1" showErrorMessage="1" sqref="H4:H46" xr:uid="{53369950-CA3F-45D1-9E6E-24E5CE9A1F8F}">
      <formula1>"19,7,0,~"</formula1>
    </dataValidation>
  </dataValidations>
  <hyperlinks>
    <hyperlink ref="J2" location="'2022 EÜR'!A1" display="Menü" xr:uid="{EF4D377E-130B-478A-8278-F150A484BB62}"/>
    <hyperlink ref="J2:L2" location="EÜR!A1" display="EÜR" xr:uid="{CDD06F2E-6CC5-4F19-A83A-EAB50287AE67}"/>
  </hyperlinks>
  <printOptions horizontalCentered="1"/>
  <pageMargins left="0" right="0" top="0" bottom="0.31496062992125984" header="0" footer="0"/>
  <pageSetup paperSize="9" orientation="portrait" r:id="rId1"/>
  <headerFooter>
    <oddFooter>&amp;L&amp;"Arial,Standard"&amp;8Datei: &amp;Z&amp;F/&amp;A&amp;C&amp;"Arial,Standard"&amp;8Seite &amp;P von &amp;N&amp;R&amp;"Arial,Standard"&amp;8Druck: &amp;D&amp;T Uhr</oddFooter>
  </headerFooter>
  <extLst>
    <ext xmlns:x14="http://schemas.microsoft.com/office/spreadsheetml/2009/9/main" uri="{78C0D931-6437-407d-A8EE-F0AAD7539E65}">
      <x14:conditionalFormattings>
        <x14:conditionalFormatting xmlns:xm="http://schemas.microsoft.com/office/excel/2006/main">
          <x14:cfRule type="cellIs" priority="36" operator="lessThan" id="{55E4EF83-82CD-431B-9EC6-7395CF08FB0B}">
            <xm:f>EÜR!$I$77</xm:f>
            <x14:dxf>
              <font>
                <b/>
                <i val="0"/>
                <color rgb="FFFFFF00"/>
              </font>
              <fill>
                <patternFill>
                  <bgColor rgb="FFC00000"/>
                </patternFill>
              </fill>
            </x14:dxf>
          </x14:cfRule>
          <x14:cfRule type="cellIs" priority="35" operator="greaterThan" id="{0449FF35-C241-468E-BA11-33C666354413}">
            <xm:f>EÜR!$I$78</xm:f>
            <x14:dxf>
              <font>
                <b/>
                <i val="0"/>
                <color rgb="FFFFFF00"/>
              </font>
              <fill>
                <patternFill>
                  <bgColor rgb="FFC00000"/>
                </patternFill>
              </fill>
            </x14:dxf>
          </x14:cfRule>
          <xm:sqref>B4:B46</xm:sqref>
        </x14:conditionalFormatting>
        <x14:conditionalFormatting xmlns:xm="http://schemas.microsoft.com/office/excel/2006/main">
          <x14:cfRule type="expression" priority="50" id="{8C1093F5-7CC9-4458-82B8-60324B02E081}">
            <xm:f>AND(EÜR!$J$66&lt;&gt;"ü",$H$48&lt;&gt;0)</xm:f>
            <x14:dxf>
              <font>
                <b/>
                <i val="0"/>
                <color rgb="FFFFFF00"/>
              </font>
              <fill>
                <patternFill>
                  <bgColor rgb="FFFF0000"/>
                </patternFill>
              </fill>
            </x14:dxf>
          </x14:cfRule>
          <xm:sqref>H48:I48</xm:sqref>
        </x14:conditionalFormatting>
        <x14:conditionalFormatting xmlns:xm="http://schemas.microsoft.com/office/excel/2006/main">
          <x14:cfRule type="expression" priority="54" id="{305E6481-9418-46F8-835E-196FFE05DDFA}">
            <xm:f>AND(O13&lt;&gt;0,U!L36="!",U!L37="!")</xm:f>
            <x14:dxf>
              <font>
                <b/>
                <i val="0"/>
                <color rgb="FFFF0000"/>
              </font>
              <fill>
                <patternFill>
                  <bgColor rgb="FFFFCCCC"/>
                </patternFill>
              </fill>
            </x14:dxf>
          </x14:cfRule>
          <x14:cfRule type="expression" priority="55" id="{FA65F968-DE62-4BEB-B625-030657A62F06}">
            <xm:f>U!L37&lt;&gt;"!"</xm:f>
            <x14:dxf>
              <font>
                <b/>
                <i val="0"/>
                <color rgb="FF006666"/>
              </font>
              <fill>
                <patternFill>
                  <bgColor theme="6" tint="0.39994506668294322"/>
                </patternFill>
              </fill>
            </x14:dxf>
          </x14:cfRule>
          <x14:cfRule type="expression" priority="56" id="{A169465E-8072-431B-BB88-72957ABDE48F}">
            <xm:f>U!L36&lt;&gt;"!"</xm:f>
            <x14:dxf>
              <font>
                <b/>
                <i val="0"/>
                <color theme="9" tint="-0.499984740745262"/>
              </font>
              <fill>
                <patternFill>
                  <bgColor rgb="FFFFFF99"/>
                </patternFill>
              </fill>
            </x14:dxf>
          </x14:cfRule>
          <xm:sqref>O13:Z13</xm:sqref>
        </x14:conditionalFormatting>
        <x14:conditionalFormatting xmlns:xm="http://schemas.microsoft.com/office/excel/2006/main">
          <x14:cfRule type="expression" priority="3" id="{07AC08FF-DAD9-47D2-AC3A-0B531475584A}">
            <xm:f>EÜR!$J$66="-"</xm:f>
            <x14:dxf>
              <font>
                <b/>
                <i val="0"/>
                <color theme="0"/>
              </font>
              <fill>
                <patternFill>
                  <bgColor theme="0"/>
                </patternFill>
              </fill>
              <border>
                <left/>
                <right/>
                <top/>
                <bottom/>
              </border>
            </x14:dxf>
          </x14:cfRule>
          <xm:sqref>O12:AA21</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5D7C1B-B343-4169-ABCC-59A20E4CBF78}">
  <sheetPr codeName="Tabelle5">
    <tabColor theme="7" tint="0.59999389629810485"/>
    <pageSetUpPr autoPageBreaks="0"/>
  </sheetPr>
  <dimension ref="A1:AB51"/>
  <sheetViews>
    <sheetView showGridLines="0" showRowColHeaders="0" zoomScaleNormal="100" workbookViewId="0">
      <pane ySplit="3" topLeftCell="A4" activePane="bottomLeft" state="frozen"/>
      <selection activeCell="O2" sqref="O2:Z3"/>
      <selection pane="bottomLeft" activeCell="A4" sqref="A4"/>
    </sheetView>
  </sheetViews>
  <sheetFormatPr baseColWidth="10" defaultColWidth="9.77734375" defaultRowHeight="12.75"/>
  <cols>
    <col min="1" max="1" width="0.77734375" style="12" customWidth="1"/>
    <col min="2" max="2" width="7.6640625" style="30" customWidth="1"/>
    <col min="3" max="3" width="21.6640625" style="24" customWidth="1"/>
    <col min="4" max="4" width="7.6640625" style="24" customWidth="1"/>
    <col min="5" max="5" width="6.6640625" style="25" customWidth="1"/>
    <col min="6" max="6" width="9.6640625" style="26" customWidth="1"/>
    <col min="7" max="7" width="9.6640625" style="27" customWidth="1"/>
    <col min="8" max="8" width="2.6640625" style="28" customWidth="1"/>
    <col min="9" max="9" width="6.6640625" style="29" customWidth="1"/>
    <col min="10" max="10" width="9.6640625" style="27" customWidth="1"/>
    <col min="11" max="11" width="2.5546875" style="27" hidden="1" customWidth="1"/>
    <col min="12" max="12" width="1.5546875" style="32" hidden="1" customWidth="1"/>
    <col min="13" max="13" width="0.77734375" style="13" customWidth="1"/>
    <col min="14" max="14" width="1.77734375" style="147" customWidth="1"/>
    <col min="15" max="26" width="8.77734375" style="13" customWidth="1"/>
    <col min="27" max="27" width="10.33203125" style="13" customWidth="1"/>
    <col min="28" max="28" width="8.33203125" style="13" customWidth="1"/>
    <col min="29" max="16384" width="9.77734375" style="13"/>
  </cols>
  <sheetData>
    <row r="1" spans="1:28" s="37" customFormat="1" ht="3" customHeight="1" thickBot="1">
      <c r="A1" s="36"/>
      <c r="B1" s="53" t="str">
        <f>+B48</f>
        <v>ü</v>
      </c>
      <c r="C1" s="54">
        <f>+C49</f>
        <v>0</v>
      </c>
      <c r="D1" s="54"/>
      <c r="E1" s="53">
        <f>+E49</f>
        <v>0</v>
      </c>
      <c r="F1" s="53"/>
      <c r="G1" s="54">
        <f>+G49</f>
        <v>0</v>
      </c>
      <c r="H1" s="53"/>
      <c r="I1" s="338" t="str">
        <f>+EÜR!J66</f>
        <v>-</v>
      </c>
      <c r="J1" s="54">
        <v>0</v>
      </c>
      <c r="K1" s="198"/>
      <c r="L1" s="56"/>
      <c r="N1" s="190"/>
    </row>
    <row r="2" spans="1:28" ht="23.1" customHeight="1" thickTop="1" thickBot="1">
      <c r="A2" s="36"/>
      <c r="B2" s="295" t="str">
        <f>+EÜR!D13</f>
        <v>U06</v>
      </c>
      <c r="C2" s="1262" t="str">
        <f>+EÜR!F13</f>
        <v>vereinnahmte Umsatzsteuer</v>
      </c>
      <c r="D2" s="1263"/>
      <c r="E2" s="1263"/>
      <c r="F2" s="1263"/>
      <c r="G2" s="1263"/>
      <c r="H2" s="1263"/>
      <c r="I2" s="1264"/>
      <c r="J2" s="1227" t="s">
        <v>8</v>
      </c>
      <c r="K2" s="1228"/>
      <c r="L2" s="1229"/>
      <c r="M2" s="134"/>
      <c r="N2" s="190">
        <v>0</v>
      </c>
      <c r="O2" s="188">
        <f>+EOMONTH(EÜR!$I$3,-1)+1</f>
        <v>46023</v>
      </c>
      <c r="P2" s="188">
        <f t="shared" ref="P2:Z2" si="0">+O3+1</f>
        <v>46054</v>
      </c>
      <c r="Q2" s="188">
        <f t="shared" si="0"/>
        <v>46082</v>
      </c>
      <c r="R2" s="188">
        <f t="shared" si="0"/>
        <v>46113</v>
      </c>
      <c r="S2" s="188">
        <f t="shared" si="0"/>
        <v>46143</v>
      </c>
      <c r="T2" s="188">
        <f t="shared" si="0"/>
        <v>46174</v>
      </c>
      <c r="U2" s="188">
        <f t="shared" si="0"/>
        <v>46204</v>
      </c>
      <c r="V2" s="188">
        <f t="shared" si="0"/>
        <v>46235</v>
      </c>
      <c r="W2" s="188">
        <f t="shared" si="0"/>
        <v>46266</v>
      </c>
      <c r="X2" s="188">
        <f t="shared" si="0"/>
        <v>46296</v>
      </c>
      <c r="Y2" s="188">
        <f t="shared" si="0"/>
        <v>46327</v>
      </c>
      <c r="Z2" s="188">
        <f t="shared" si="0"/>
        <v>46357</v>
      </c>
      <c r="AA2" s="48"/>
    </row>
    <row r="3" spans="1:28" ht="14.25" customHeight="1" thickTop="1">
      <c r="A3" s="36" t="s">
        <v>5</v>
      </c>
      <c r="B3" s="58" t="s">
        <v>1</v>
      </c>
      <c r="C3" s="59" t="s">
        <v>6</v>
      </c>
      <c r="D3" s="60"/>
      <c r="E3" s="310" t="s">
        <v>7</v>
      </c>
      <c r="F3" s="61" t="s">
        <v>4</v>
      </c>
      <c r="G3" s="62" t="s">
        <v>31</v>
      </c>
      <c r="H3" s="63"/>
      <c r="I3" s="64"/>
      <c r="J3" s="273" t="s">
        <v>213</v>
      </c>
      <c r="K3" s="199">
        <v>0</v>
      </c>
      <c r="L3" s="65" t="s">
        <v>5</v>
      </c>
      <c r="M3" s="135" t="s">
        <v>5</v>
      </c>
      <c r="N3" s="222">
        <f>IF(SUBTOTAL(109,K3:K47)&lt;&gt;SUM(K3:K47),1,0)</f>
        <v>0</v>
      </c>
      <c r="O3" s="189">
        <f>EOMONTH(O2,0)</f>
        <v>46053</v>
      </c>
      <c r="P3" s="189">
        <f t="shared" ref="P3:Z3" si="1">EOMONTH(P2,0)</f>
        <v>46081</v>
      </c>
      <c r="Q3" s="189">
        <f t="shared" si="1"/>
        <v>46112</v>
      </c>
      <c r="R3" s="189">
        <f t="shared" si="1"/>
        <v>46142</v>
      </c>
      <c r="S3" s="189">
        <f t="shared" si="1"/>
        <v>46173</v>
      </c>
      <c r="T3" s="189">
        <f t="shared" si="1"/>
        <v>46203</v>
      </c>
      <c r="U3" s="189">
        <f t="shared" si="1"/>
        <v>46234</v>
      </c>
      <c r="V3" s="189">
        <f t="shared" si="1"/>
        <v>46265</v>
      </c>
      <c r="W3" s="189">
        <f t="shared" si="1"/>
        <v>46295</v>
      </c>
      <c r="X3" s="189">
        <f t="shared" si="1"/>
        <v>46326</v>
      </c>
      <c r="Y3" s="189">
        <f t="shared" si="1"/>
        <v>46356</v>
      </c>
      <c r="Z3" s="189">
        <f t="shared" si="1"/>
        <v>46387</v>
      </c>
      <c r="AB3" s="14"/>
    </row>
    <row r="4" spans="1:28" ht="13.35" customHeight="1">
      <c r="A4" s="50" t="s">
        <v>5</v>
      </c>
      <c r="B4" s="232">
        <f>+EÜR!$I$3</f>
        <v>46023</v>
      </c>
      <c r="C4" s="287" t="s">
        <v>9</v>
      </c>
      <c r="D4" s="288"/>
      <c r="E4" s="312" t="s">
        <v>8</v>
      </c>
      <c r="F4" s="289" t="s">
        <v>214</v>
      </c>
      <c r="G4" s="290">
        <f>+'E01'!H48</f>
        <v>0</v>
      </c>
      <c r="H4" s="238"/>
      <c r="I4" s="239"/>
      <c r="J4" s="280" t="str">
        <f t="shared" ref="J4:J44" si="2">IF(G4&lt;&gt;0,+G4-I4,"")</f>
        <v/>
      </c>
      <c r="K4" s="200">
        <v>1</v>
      </c>
      <c r="L4" s="133">
        <f>IF(B4&lt;$O$2,0,IF(B4&lt;$P$2,1,IF(B4&lt;$Q$2,2,IF(B4&lt;$R$2,3,IF(B4&lt;$S$2,4,IF(B4&lt;$T$2,5,IF(B4&lt;$U$2,6,IF(B4&lt;$V$2,7,IF(B4&lt;$W$2,8,IF(B4&lt;$X$2,9,IF(B4&lt;$Y$2,10,IF(B4&lt;$Z$2,11,IF(B4&lt;=$Z$3,12,0)))))))))))))</f>
        <v>1</v>
      </c>
      <c r="M4" s="135" t="s">
        <v>5</v>
      </c>
      <c r="N4" s="190">
        <f>+N10+AA12+AA16</f>
        <v>0</v>
      </c>
      <c r="O4" s="251" t="s">
        <v>36</v>
      </c>
      <c r="P4" s="251" t="s">
        <v>37</v>
      </c>
      <c r="Q4" s="251" t="s">
        <v>38</v>
      </c>
      <c r="R4" s="251" t="s">
        <v>39</v>
      </c>
      <c r="S4" s="251" t="s">
        <v>40</v>
      </c>
      <c r="T4" s="251" t="s">
        <v>41</v>
      </c>
      <c r="U4" s="251" t="s">
        <v>42</v>
      </c>
      <c r="V4" s="251" t="s">
        <v>43</v>
      </c>
      <c r="W4" s="251" t="s">
        <v>44</v>
      </c>
      <c r="X4" s="251" t="s">
        <v>45</v>
      </c>
      <c r="Y4" s="251" t="s">
        <v>46</v>
      </c>
      <c r="Z4" s="251" t="s">
        <v>47</v>
      </c>
      <c r="AA4" s="1209" t="s">
        <v>255</v>
      </c>
      <c r="AB4" s="1210"/>
    </row>
    <row r="5" spans="1:28" ht="13.35" customHeight="1">
      <c r="A5" s="50" t="s">
        <v>5</v>
      </c>
      <c r="B5" s="232">
        <f>+EÜR!$I$3</f>
        <v>46023</v>
      </c>
      <c r="C5" s="287" t="s">
        <v>144</v>
      </c>
      <c r="D5" s="288"/>
      <c r="E5" s="312" t="s">
        <v>8</v>
      </c>
      <c r="F5" s="289" t="s">
        <v>215</v>
      </c>
      <c r="G5" s="290">
        <f>+'E03'!H48</f>
        <v>0</v>
      </c>
      <c r="H5" s="238"/>
      <c r="I5" s="239"/>
      <c r="J5" s="280" t="str">
        <f t="shared" si="2"/>
        <v/>
      </c>
      <c r="K5" s="200">
        <v>2</v>
      </c>
      <c r="L5" s="133">
        <f t="shared" ref="L5:L44" si="3">IF(B5&lt;$O$2,0,IF(B5&lt;$P$2,1,IF(B5&lt;$Q$2,2,IF(B5&lt;$R$2,3,IF(B5&lt;$S$2,4,IF(B5&lt;$T$2,5,IF(B5&lt;$U$2,6,IF(B5&lt;$V$2,7,IF(B5&lt;$W$2,8,IF(B5&lt;$X$2,9,IF(B5&lt;$Y$2,10,IF(B5&lt;$Z$2,11,IF(B5&lt;=$Z$3,12,0)))))))))))))</f>
        <v>1</v>
      </c>
      <c r="M5" s="135" t="s">
        <v>5</v>
      </c>
      <c r="O5" s="252">
        <f>SUMIFS($G$3:$G$47,$L$3:$L$47,1,$F$3:$F$47,"Konto")</f>
        <v>0</v>
      </c>
      <c r="P5" s="252">
        <f>SUMIFS($G$3:$G$47,$L$3:$L$47,2,$F$3:$F$47,"Konto")</f>
        <v>0</v>
      </c>
      <c r="Q5" s="252">
        <f>SUMIFS($G$3:$G$47,$L$3:$L$47,3,$F$3:$F$47,"Konto")</f>
        <v>0</v>
      </c>
      <c r="R5" s="252">
        <f>SUMIFS($G$3:$G$47,$L$3:$L$47,4,$F$3:$F$47,"Konto")</f>
        <v>0</v>
      </c>
      <c r="S5" s="252">
        <f>SUMIFS($G$3:$G$47,$L$3:$L$47,5,$F$3:$F$47,"Konto")</f>
        <v>0</v>
      </c>
      <c r="T5" s="252">
        <f>SUMIFS($G$3:$G$47,$L$3:$L$47,6,$F$3:$F$47,"Konto")</f>
        <v>0</v>
      </c>
      <c r="U5" s="252">
        <f>SUMIFS($G$3:$G$47,$L$3:$L$47,7,$F$3:$F$47,"Konto")</f>
        <v>0</v>
      </c>
      <c r="V5" s="252">
        <f>SUMIFS($G$3:$G$47,$L$3:$L$47,8,$F$3:$F$47,"Konto")</f>
        <v>0</v>
      </c>
      <c r="W5" s="252">
        <f>SUMIFS($G$3:$G$47,$L$3:$L$47,9,$F$3:$F$47,"Konto")</f>
        <v>0</v>
      </c>
      <c r="X5" s="252">
        <f>SUMIFS($G$3:$G$47,$L$3:$L$47,10,$F$3:$F$47,"Konto")</f>
        <v>0</v>
      </c>
      <c r="Y5" s="252">
        <f>SUMIFS($G$3:$G$47,$L$3:$L$47,11,$F$3:$F$47,"Konto")</f>
        <v>0</v>
      </c>
      <c r="Z5" s="252">
        <f>SUMIFS($G$3:$G$47,$L$3:$L$47,12,$F$3:$F$47,"Konto")</f>
        <v>0</v>
      </c>
      <c r="AA5" s="253">
        <f>SUM(O5:Z5)</f>
        <v>0</v>
      </c>
      <c r="AB5" s="254" t="s">
        <v>140</v>
      </c>
    </row>
    <row r="6" spans="1:28" ht="13.35" customHeight="1">
      <c r="A6" s="50" t="s">
        <v>5</v>
      </c>
      <c r="B6" s="232">
        <f>+EÜR!$I$3</f>
        <v>46023</v>
      </c>
      <c r="C6" s="287" t="s">
        <v>11</v>
      </c>
      <c r="D6" s="288"/>
      <c r="E6" s="312" t="s">
        <v>8</v>
      </c>
      <c r="F6" s="289" t="s">
        <v>216</v>
      </c>
      <c r="G6" s="290">
        <f>+'E04'!H48</f>
        <v>0</v>
      </c>
      <c r="H6" s="238"/>
      <c r="I6" s="239"/>
      <c r="J6" s="280" t="str">
        <f t="shared" si="2"/>
        <v/>
      </c>
      <c r="K6" s="200">
        <v>3</v>
      </c>
      <c r="L6" s="133">
        <f t="shared" si="3"/>
        <v>1</v>
      </c>
      <c r="M6" s="135" t="s">
        <v>5</v>
      </c>
      <c r="N6" s="190"/>
      <c r="O6" s="252">
        <f>SUMIFS($G$3:$G$47,$L$3:$L$47,1,$F$3:$F$47,"Kreditkarte")</f>
        <v>0</v>
      </c>
      <c r="P6" s="252">
        <f>SUMIFS($G$3:$G$47,$L$3:$L$47,2,$F$3:$F$47,"Kreditkarte")</f>
        <v>0</v>
      </c>
      <c r="Q6" s="252">
        <f>SUMIFS($G$3:$G$47,$L$3:$L$47,3,$F$3:$F$47,"Kreditkarte")</f>
        <v>0</v>
      </c>
      <c r="R6" s="252">
        <f>SUMIFS($G$3:$G$47,$L$3:$L$47,4,$F$3:$F$47,"Kreditkarte")</f>
        <v>0</v>
      </c>
      <c r="S6" s="252">
        <f>SUMIFS($G$3:$G$47,$L$3:$L$47,5,$F$3:$F$47,"Kreditkarte")</f>
        <v>0</v>
      </c>
      <c r="T6" s="252">
        <f>SUMIFS($G$3:$G$47,$L$3:$L$47,6,$F$3:$F$47,"Kreditkarte")</f>
        <v>0</v>
      </c>
      <c r="U6" s="252">
        <f>SUMIFS($G$3:$G$47,$L$3:$L$47,7,$F$3:$F$47,"Kreditkarte")</f>
        <v>0</v>
      </c>
      <c r="V6" s="252">
        <f>SUMIFS($G$3:$G$47,$L$3:$L$47,8,$F$3:$F$47,"Kreditkarte")</f>
        <v>0</v>
      </c>
      <c r="W6" s="252">
        <f>SUMIFS($G$3:$G$47,$L$3:$L$47,9,$F$3:$F$47,"Kreditkarte")</f>
        <v>0</v>
      </c>
      <c r="X6" s="252">
        <f>SUMIFS($G$3:$G$47,$L$3:$L$47,10,$F$3:$F$47,"Kreditkarte")</f>
        <v>0</v>
      </c>
      <c r="Y6" s="252">
        <f>SUMIFS($G$3:$G$47,$L$3:$L$47,11,$F$3:$F$47,"Kreditkarte")</f>
        <v>0</v>
      </c>
      <c r="Z6" s="252">
        <f>SUMIFS($G$3:$G$47,$L$3:$L$47,12,$F$3:$F$47,"Kreditkarte")</f>
        <v>0</v>
      </c>
      <c r="AA6" s="255">
        <f t="shared" ref="AA6:AA8" si="4">SUM(O6:Z6)</f>
        <v>0</v>
      </c>
      <c r="AB6" s="256" t="s">
        <v>142</v>
      </c>
    </row>
    <row r="7" spans="1:28" ht="13.35" customHeight="1">
      <c r="A7" s="50" t="s">
        <v>5</v>
      </c>
      <c r="B7" s="232">
        <f>+EÜR!$I$3</f>
        <v>46023</v>
      </c>
      <c r="C7" s="287" t="s">
        <v>12</v>
      </c>
      <c r="D7" s="288"/>
      <c r="E7" s="312" t="s">
        <v>8</v>
      </c>
      <c r="F7" s="289" t="s">
        <v>217</v>
      </c>
      <c r="G7" s="290">
        <f>+'E05'!H48</f>
        <v>0</v>
      </c>
      <c r="H7" s="238"/>
      <c r="I7" s="239"/>
      <c r="J7" s="280" t="str">
        <f t="shared" si="2"/>
        <v/>
      </c>
      <c r="K7" s="200">
        <v>4</v>
      </c>
      <c r="L7" s="133">
        <f t="shared" si="3"/>
        <v>1</v>
      </c>
      <c r="M7" s="135" t="s">
        <v>5</v>
      </c>
      <c r="O7" s="252">
        <f>SUMIFS($G$3:$G$47,$L$3:$L$47,1,$F$3:$F$47,"Geldbeutel")</f>
        <v>0</v>
      </c>
      <c r="P7" s="252">
        <f>SUMIFS($G$3:$G$47,$L$3:$L$47,2,$F$3:$F$47,"Geldbeutel")</f>
        <v>0</v>
      </c>
      <c r="Q7" s="252">
        <f>SUMIFS($G$3:$G$47,$L$3:$L$47,3,$F$3:$F$47,"Geldbeutel")</f>
        <v>0</v>
      </c>
      <c r="R7" s="252">
        <f>SUMIFS($G$3:$G$47,$L$3:$L$47,4,$F$3:$F$47,"Geldbeutel")</f>
        <v>0</v>
      </c>
      <c r="S7" s="252">
        <f>SUMIFS($G$3:$G$47,$L$3:$L$47,5,$F$3:$F$47,"Geldbeutel")</f>
        <v>0</v>
      </c>
      <c r="T7" s="252">
        <f>SUMIFS($G$3:$G$47,$L$3:$L$47,6,$F$3:$F$47,"Geldbeutel")</f>
        <v>0</v>
      </c>
      <c r="U7" s="252">
        <f>SUMIFS($G$3:$G$47,$L$3:$L$47,7,$F$3:$F$47,"Geldbeutel")</f>
        <v>0</v>
      </c>
      <c r="V7" s="252">
        <f>SUMIFS($G$3:$G$47,$L$3:$L$47,8,$F$3:$F$47,"Geldbeutel")</f>
        <v>0</v>
      </c>
      <c r="W7" s="252">
        <f>SUMIFS($G$3:$G$47,$L$3:$L$47,9,$F$3:$F$47,"Geldbeutel")</f>
        <v>0</v>
      </c>
      <c r="X7" s="252">
        <f>SUMIFS($G$3:$G$47,$L$3:$L$47,10,$F$3:$F$47,"Geldbeutel")</f>
        <v>0</v>
      </c>
      <c r="Y7" s="252">
        <f>SUMIFS($G$3:$G$47,$L$3:$L$47,11,$F$3:$F$47,"Geldbeutel")</f>
        <v>0</v>
      </c>
      <c r="Z7" s="252">
        <f>SUMIFS($G$3:$G$47,$L$3:$L$47,12,$F$3:$F$47,"Geldbeutel")</f>
        <v>0</v>
      </c>
      <c r="AA7" s="253">
        <f t="shared" si="4"/>
        <v>0</v>
      </c>
      <c r="AB7" s="254" t="s">
        <v>139</v>
      </c>
    </row>
    <row r="8" spans="1:28" ht="13.35" customHeight="1">
      <c r="A8" s="50" t="s">
        <v>5</v>
      </c>
      <c r="B8" s="233" t="s">
        <v>151</v>
      </c>
      <c r="C8" s="1267" t="s">
        <v>459</v>
      </c>
      <c r="D8" s="1268"/>
      <c r="E8" s="1268"/>
      <c r="F8" s="1268"/>
      <c r="G8" s="1269"/>
      <c r="H8" s="1265">
        <f>SUM(G4:G7)</f>
        <v>0</v>
      </c>
      <c r="I8" s="1266"/>
      <c r="J8" s="364" t="str">
        <f>IF(G8&lt;&gt;0,+G8-H8,"")</f>
        <v/>
      </c>
      <c r="K8" s="200">
        <v>5</v>
      </c>
      <c r="L8" s="133">
        <f t="shared" si="3"/>
        <v>0</v>
      </c>
      <c r="M8" s="135" t="s">
        <v>5</v>
      </c>
      <c r="O8" s="252">
        <f>SUMIFS($G$3:$G$47,$L$3:$L$47,1,$F$3:$F$47,"X")</f>
        <v>0</v>
      </c>
      <c r="P8" s="252">
        <f>SUMIFS($G$3:$G$47,$L$3:$L$47,2,$F$3:$F$47,"X")</f>
        <v>0</v>
      </c>
      <c r="Q8" s="252">
        <f>SUMIFS($G$3:$G$47,$L$3:$L$47,3,$F$3:$F$47,"X")</f>
        <v>0</v>
      </c>
      <c r="R8" s="252">
        <f>SUMIFS($G$3:$G$47,$L$3:$L$47,4,$F$3:$F$47,"X")</f>
        <v>0</v>
      </c>
      <c r="S8" s="252">
        <f>SUMIFS($G$3:$G$47,$L$3:$L$47,5,$F$3:$F$47,"X")</f>
        <v>0</v>
      </c>
      <c r="T8" s="252">
        <f>SUMIFS($G$3:$G$47,$L$3:$L$47,6,$F$3:$F$47,"X")</f>
        <v>0</v>
      </c>
      <c r="U8" s="252">
        <f>SUMIFS($G$3:$G$47,$L$3:$L$47,7,$F$3:$F$47,"X")</f>
        <v>0</v>
      </c>
      <c r="V8" s="252">
        <f>SUMIFS($G$3:$G$47,$L$3:$L$47,8,$F$3:$F$47,"X")</f>
        <v>0</v>
      </c>
      <c r="W8" s="252">
        <f>SUMIFS($G$3:$G$47,$L$3:$L$47,9,$F$3:$F$47,"X")</f>
        <v>0</v>
      </c>
      <c r="X8" s="252">
        <f>SUMIFS($G$3:$G$47,$L$3:$L$47,10,$F$3:$F$47,"X")</f>
        <v>0</v>
      </c>
      <c r="Y8" s="252">
        <f>SUMIFS($G$3:$G$47,$L$3:$L$47,11,$F$3:$F$47,"X")</f>
        <v>0</v>
      </c>
      <c r="Z8" s="252">
        <f>SUMIFS($G$3:$G$47,$L$3:$L$47,12,$F$3:$F$47,"X")</f>
        <v>0</v>
      </c>
      <c r="AA8" s="255">
        <f t="shared" si="4"/>
        <v>0</v>
      </c>
      <c r="AB8" s="256" t="s">
        <v>192</v>
      </c>
    </row>
    <row r="9" spans="1:28" ht="13.35" customHeight="1">
      <c r="A9" s="50" t="s">
        <v>5</v>
      </c>
      <c r="B9" s="234"/>
      <c r="C9" s="84"/>
      <c r="D9" s="235"/>
      <c r="E9" s="236"/>
      <c r="F9" s="136"/>
      <c r="G9" s="237"/>
      <c r="H9" s="238"/>
      <c r="I9" s="239"/>
      <c r="J9" s="240" t="str">
        <f t="shared" si="2"/>
        <v/>
      </c>
      <c r="K9" s="200">
        <v>6</v>
      </c>
      <c r="L9" s="133">
        <f t="shared" si="3"/>
        <v>0</v>
      </c>
      <c r="M9" s="135" t="s">
        <v>5</v>
      </c>
      <c r="N9" s="191">
        <f>IF(OR(AND(AA14&lt;&gt;0,B48="x"),(O14+AA13)&lt;&gt;H48),1,0)</f>
        <v>0</v>
      </c>
      <c r="O9" s="257">
        <f>SUM(O5:O8)</f>
        <v>0</v>
      </c>
      <c r="P9" s="257">
        <f t="shared" ref="P9:Z9" si="5">SUM(P5:P8)</f>
        <v>0</v>
      </c>
      <c r="Q9" s="257">
        <f t="shared" si="5"/>
        <v>0</v>
      </c>
      <c r="R9" s="257">
        <f t="shared" si="5"/>
        <v>0</v>
      </c>
      <c r="S9" s="257">
        <f t="shared" si="5"/>
        <v>0</v>
      </c>
      <c r="T9" s="257">
        <f t="shared" si="5"/>
        <v>0</v>
      </c>
      <c r="U9" s="257">
        <f t="shared" si="5"/>
        <v>0</v>
      </c>
      <c r="V9" s="257">
        <f t="shared" si="5"/>
        <v>0</v>
      </c>
      <c r="W9" s="257">
        <f t="shared" si="5"/>
        <v>0</v>
      </c>
      <c r="X9" s="257">
        <f t="shared" si="5"/>
        <v>0</v>
      </c>
      <c r="Y9" s="257">
        <f t="shared" si="5"/>
        <v>0</v>
      </c>
      <c r="Z9" s="257">
        <f t="shared" si="5"/>
        <v>0</v>
      </c>
      <c r="AA9" s="1211" t="s">
        <v>197</v>
      </c>
      <c r="AB9" s="1212"/>
    </row>
    <row r="10" spans="1:28" ht="13.35" customHeight="1">
      <c r="A10" s="50" t="s">
        <v>5</v>
      </c>
      <c r="B10" s="234"/>
      <c r="C10" s="84"/>
      <c r="D10" s="235"/>
      <c r="E10" s="236"/>
      <c r="F10" s="136"/>
      <c r="G10" s="237"/>
      <c r="H10" s="238"/>
      <c r="I10" s="239"/>
      <c r="J10" s="240" t="str">
        <f t="shared" si="2"/>
        <v/>
      </c>
      <c r="K10" s="200">
        <v>7</v>
      </c>
      <c r="L10" s="133">
        <f t="shared" si="3"/>
        <v>0</v>
      </c>
      <c r="M10" s="135" t="s">
        <v>5</v>
      </c>
      <c r="N10" s="259">
        <f>IF(O10+AA10&lt;&gt;G48,1,0)</f>
        <v>0</v>
      </c>
      <c r="O10" s="1259">
        <f>SUM(O5:Z8)</f>
        <v>0</v>
      </c>
      <c r="P10" s="1260"/>
      <c r="Q10" s="1260"/>
      <c r="R10" s="1260"/>
      <c r="S10" s="1260"/>
      <c r="T10" s="1260"/>
      <c r="U10" s="1260"/>
      <c r="V10" s="1260"/>
      <c r="W10" s="1260"/>
      <c r="X10" s="1260"/>
      <c r="Y10" s="1260"/>
      <c r="Z10" s="1261"/>
      <c r="AA10" s="292"/>
      <c r="AB10" s="313" t="s">
        <v>257</v>
      </c>
    </row>
    <row r="11" spans="1:28" ht="13.35" customHeight="1">
      <c r="A11" s="50" t="s">
        <v>5</v>
      </c>
      <c r="B11" s="234"/>
      <c r="C11" s="84"/>
      <c r="D11" s="235"/>
      <c r="E11" s="236"/>
      <c r="F11" s="136"/>
      <c r="G11" s="237"/>
      <c r="H11" s="238"/>
      <c r="I11" s="239"/>
      <c r="J11" s="240" t="str">
        <f t="shared" si="2"/>
        <v/>
      </c>
      <c r="K11" s="200">
        <v>8</v>
      </c>
      <c r="L11" s="133">
        <f t="shared" si="3"/>
        <v>0</v>
      </c>
      <c r="M11" s="135" t="s">
        <v>5</v>
      </c>
      <c r="O11" s="1248" t="str">
        <f>IF(N4&gt;0,"Fehler!","")</f>
        <v/>
      </c>
      <c r="P11" s="1248"/>
      <c r="Q11" s="1248"/>
      <c r="R11" s="1248"/>
      <c r="S11" s="1248"/>
      <c r="T11" s="1248"/>
      <c r="U11" s="1248"/>
      <c r="V11" s="1248"/>
      <c r="W11" s="1248"/>
      <c r="X11" s="1248"/>
      <c r="Y11" s="1248"/>
      <c r="Z11" s="1248"/>
    </row>
    <row r="12" spans="1:28" ht="13.35" customHeight="1">
      <c r="A12" s="50" t="s">
        <v>5</v>
      </c>
      <c r="B12" s="234"/>
      <c r="C12" s="84"/>
      <c r="D12" s="235"/>
      <c r="E12" s="236"/>
      <c r="F12" s="136"/>
      <c r="G12" s="237"/>
      <c r="H12" s="238"/>
      <c r="I12" s="239"/>
      <c r="J12" s="240" t="str">
        <f t="shared" si="2"/>
        <v/>
      </c>
      <c r="K12" s="200">
        <v>9</v>
      </c>
      <c r="L12" s="133">
        <f t="shared" si="3"/>
        <v>0</v>
      </c>
      <c r="M12" s="135" t="s">
        <v>5</v>
      </c>
      <c r="AA12" s="38">
        <f>IF(O14+AA13&lt;&gt;H48,1,0)</f>
        <v>0</v>
      </c>
    </row>
    <row r="13" spans="1:28" ht="13.35" customHeight="1">
      <c r="A13" s="50" t="s">
        <v>5</v>
      </c>
      <c r="B13" s="234"/>
      <c r="C13" s="84"/>
      <c r="D13" s="235"/>
      <c r="E13" s="236"/>
      <c r="F13" s="136"/>
      <c r="G13" s="237"/>
      <c r="H13" s="238"/>
      <c r="I13" s="239"/>
      <c r="J13" s="240" t="str">
        <f t="shared" si="2"/>
        <v/>
      </c>
      <c r="K13" s="200">
        <v>10</v>
      </c>
      <c r="L13" s="133">
        <f t="shared" si="3"/>
        <v>0</v>
      </c>
      <c r="M13" s="135" t="s">
        <v>5</v>
      </c>
    </row>
    <row r="14" spans="1:28" ht="13.35" customHeight="1">
      <c r="A14" s="50" t="s">
        <v>5</v>
      </c>
      <c r="B14" s="234"/>
      <c r="C14" s="84"/>
      <c r="D14" s="235"/>
      <c r="E14" s="236"/>
      <c r="F14" s="136"/>
      <c r="G14" s="237"/>
      <c r="H14" s="238"/>
      <c r="I14" s="239"/>
      <c r="J14" s="240" t="str">
        <f t="shared" si="2"/>
        <v/>
      </c>
      <c r="K14" s="200">
        <v>11</v>
      </c>
      <c r="L14" s="133">
        <f t="shared" si="3"/>
        <v>0</v>
      </c>
      <c r="M14" s="135" t="s">
        <v>5</v>
      </c>
    </row>
    <row r="15" spans="1:28" ht="13.35" customHeight="1">
      <c r="A15" s="50" t="s">
        <v>5</v>
      </c>
      <c r="B15" s="234"/>
      <c r="C15" s="261"/>
      <c r="D15" s="235"/>
      <c r="E15" s="236"/>
      <c r="F15" s="136"/>
      <c r="G15" s="237"/>
      <c r="H15" s="238"/>
      <c r="I15" s="239"/>
      <c r="J15" s="240" t="str">
        <f t="shared" si="2"/>
        <v/>
      </c>
      <c r="K15" s="200">
        <v>12</v>
      </c>
      <c r="L15" s="133">
        <f t="shared" si="3"/>
        <v>0</v>
      </c>
      <c r="M15" s="135" t="s">
        <v>5</v>
      </c>
    </row>
    <row r="16" spans="1:28" ht="13.35" customHeight="1">
      <c r="A16" s="50" t="s">
        <v>5</v>
      </c>
      <c r="B16" s="234"/>
      <c r="C16" s="84"/>
      <c r="D16" s="235"/>
      <c r="E16" s="236"/>
      <c r="F16" s="136"/>
      <c r="G16" s="237"/>
      <c r="H16" s="238"/>
      <c r="I16" s="239"/>
      <c r="J16" s="240" t="str">
        <f t="shared" si="2"/>
        <v/>
      </c>
      <c r="K16" s="200">
        <v>13</v>
      </c>
      <c r="L16" s="133">
        <f t="shared" si="3"/>
        <v>0</v>
      </c>
      <c r="M16" s="135" t="s">
        <v>5</v>
      </c>
    </row>
    <row r="17" spans="1:13" ht="13.35" customHeight="1">
      <c r="A17" s="50" t="s">
        <v>5</v>
      </c>
      <c r="B17" s="234"/>
      <c r="C17" s="84"/>
      <c r="D17" s="235"/>
      <c r="E17" s="236"/>
      <c r="F17" s="136"/>
      <c r="G17" s="237"/>
      <c r="H17" s="238"/>
      <c r="I17" s="239"/>
      <c r="J17" s="240" t="str">
        <f t="shared" si="2"/>
        <v/>
      </c>
      <c r="K17" s="200">
        <v>14</v>
      </c>
      <c r="L17" s="133">
        <f t="shared" si="3"/>
        <v>0</v>
      </c>
      <c r="M17" s="135" t="s">
        <v>5</v>
      </c>
    </row>
    <row r="18" spans="1:13" ht="13.35" customHeight="1">
      <c r="A18" s="50" t="s">
        <v>5</v>
      </c>
      <c r="B18" s="234"/>
      <c r="C18" s="84"/>
      <c r="D18" s="235"/>
      <c r="E18" s="236"/>
      <c r="F18" s="136"/>
      <c r="G18" s="237"/>
      <c r="H18" s="238"/>
      <c r="I18" s="239"/>
      <c r="J18" s="240" t="str">
        <f t="shared" si="2"/>
        <v/>
      </c>
      <c r="K18" s="200">
        <v>15</v>
      </c>
      <c r="L18" s="133">
        <f t="shared" si="3"/>
        <v>0</v>
      </c>
      <c r="M18" s="135" t="s">
        <v>5</v>
      </c>
    </row>
    <row r="19" spans="1:13" ht="13.35" customHeight="1">
      <c r="A19" s="50" t="s">
        <v>5</v>
      </c>
      <c r="B19" s="234"/>
      <c r="C19" s="84"/>
      <c r="D19" s="235"/>
      <c r="E19" s="236"/>
      <c r="F19" s="136"/>
      <c r="G19" s="237"/>
      <c r="H19" s="238"/>
      <c r="I19" s="239"/>
      <c r="J19" s="240" t="str">
        <f t="shared" si="2"/>
        <v/>
      </c>
      <c r="K19" s="200">
        <v>16</v>
      </c>
      <c r="L19" s="133">
        <f t="shared" si="3"/>
        <v>0</v>
      </c>
      <c r="M19" s="135" t="s">
        <v>5</v>
      </c>
    </row>
    <row r="20" spans="1:13" ht="13.35" customHeight="1">
      <c r="A20" s="50" t="s">
        <v>5</v>
      </c>
      <c r="B20" s="234"/>
      <c r="C20" s="84"/>
      <c r="D20" s="235"/>
      <c r="E20" s="236"/>
      <c r="F20" s="136"/>
      <c r="G20" s="237"/>
      <c r="H20" s="238"/>
      <c r="I20" s="239"/>
      <c r="J20" s="240" t="str">
        <f t="shared" si="2"/>
        <v/>
      </c>
      <c r="K20" s="200">
        <v>17</v>
      </c>
      <c r="L20" s="133">
        <f t="shared" si="3"/>
        <v>0</v>
      </c>
      <c r="M20" s="135" t="s">
        <v>5</v>
      </c>
    </row>
    <row r="21" spans="1:13" ht="13.35" customHeight="1">
      <c r="A21" s="50" t="s">
        <v>5</v>
      </c>
      <c r="B21" s="234"/>
      <c r="C21" s="84"/>
      <c r="D21" s="235"/>
      <c r="E21" s="236"/>
      <c r="F21" s="136"/>
      <c r="G21" s="237"/>
      <c r="H21" s="238"/>
      <c r="I21" s="239"/>
      <c r="J21" s="240" t="str">
        <f t="shared" si="2"/>
        <v/>
      </c>
      <c r="K21" s="200">
        <v>18</v>
      </c>
      <c r="L21" s="133">
        <f t="shared" si="3"/>
        <v>0</v>
      </c>
      <c r="M21" s="135" t="s">
        <v>5</v>
      </c>
    </row>
    <row r="22" spans="1:13" ht="13.35" customHeight="1">
      <c r="A22" s="50" t="s">
        <v>5</v>
      </c>
      <c r="B22" s="234"/>
      <c r="C22" s="84"/>
      <c r="D22" s="235"/>
      <c r="E22" s="236"/>
      <c r="F22" s="136"/>
      <c r="G22" s="237"/>
      <c r="H22" s="238"/>
      <c r="I22" s="239"/>
      <c r="J22" s="240" t="str">
        <f t="shared" si="2"/>
        <v/>
      </c>
      <c r="K22" s="200">
        <v>19</v>
      </c>
      <c r="L22" s="133">
        <f t="shared" si="3"/>
        <v>0</v>
      </c>
      <c r="M22" s="135" t="s">
        <v>5</v>
      </c>
    </row>
    <row r="23" spans="1:13" ht="13.35" customHeight="1">
      <c r="A23" s="50" t="s">
        <v>5</v>
      </c>
      <c r="B23" s="234"/>
      <c r="C23" s="84"/>
      <c r="D23" s="241"/>
      <c r="E23" s="236"/>
      <c r="F23" s="136"/>
      <c r="G23" s="237"/>
      <c r="H23" s="238"/>
      <c r="I23" s="239"/>
      <c r="J23" s="240" t="str">
        <f t="shared" si="2"/>
        <v/>
      </c>
      <c r="K23" s="200">
        <v>20</v>
      </c>
      <c r="L23" s="133">
        <f t="shared" si="3"/>
        <v>0</v>
      </c>
      <c r="M23" s="135" t="s">
        <v>5</v>
      </c>
    </row>
    <row r="24" spans="1:13" ht="13.35" customHeight="1">
      <c r="A24" s="50" t="s">
        <v>5</v>
      </c>
      <c r="B24" s="234"/>
      <c r="C24" s="84"/>
      <c r="D24" s="235"/>
      <c r="E24" s="236"/>
      <c r="F24" s="136"/>
      <c r="G24" s="237"/>
      <c r="H24" s="238"/>
      <c r="I24" s="239"/>
      <c r="J24" s="240" t="str">
        <f t="shared" si="2"/>
        <v/>
      </c>
      <c r="K24" s="200">
        <v>21</v>
      </c>
      <c r="L24" s="133">
        <f t="shared" si="3"/>
        <v>0</v>
      </c>
      <c r="M24" s="135" t="s">
        <v>5</v>
      </c>
    </row>
    <row r="25" spans="1:13" ht="13.35" customHeight="1">
      <c r="A25" s="50" t="s">
        <v>5</v>
      </c>
      <c r="B25" s="234"/>
      <c r="C25" s="84"/>
      <c r="D25" s="235"/>
      <c r="E25" s="236"/>
      <c r="F25" s="136"/>
      <c r="G25" s="237"/>
      <c r="H25" s="238"/>
      <c r="I25" s="239"/>
      <c r="J25" s="240" t="str">
        <f t="shared" si="2"/>
        <v/>
      </c>
      <c r="K25" s="200">
        <v>22</v>
      </c>
      <c r="L25" s="133">
        <f t="shared" si="3"/>
        <v>0</v>
      </c>
      <c r="M25" s="135" t="s">
        <v>5</v>
      </c>
    </row>
    <row r="26" spans="1:13" ht="13.35" customHeight="1">
      <c r="A26" s="50" t="s">
        <v>5</v>
      </c>
      <c r="B26" s="234"/>
      <c r="C26" s="84"/>
      <c r="D26" s="235"/>
      <c r="E26" s="236"/>
      <c r="F26" s="136"/>
      <c r="G26" s="237"/>
      <c r="H26" s="238"/>
      <c r="I26" s="239"/>
      <c r="J26" s="240" t="str">
        <f t="shared" si="2"/>
        <v/>
      </c>
      <c r="K26" s="200">
        <v>23</v>
      </c>
      <c r="L26" s="133">
        <f t="shared" si="3"/>
        <v>0</v>
      </c>
      <c r="M26" s="135" t="s">
        <v>5</v>
      </c>
    </row>
    <row r="27" spans="1:13" ht="13.35" customHeight="1">
      <c r="A27" s="50" t="s">
        <v>5</v>
      </c>
      <c r="B27" s="234"/>
      <c r="C27" s="84"/>
      <c r="D27" s="235"/>
      <c r="E27" s="236"/>
      <c r="F27" s="136"/>
      <c r="G27" s="237"/>
      <c r="H27" s="238"/>
      <c r="I27" s="239"/>
      <c r="J27" s="240" t="str">
        <f t="shared" si="2"/>
        <v/>
      </c>
      <c r="K27" s="200">
        <v>24</v>
      </c>
      <c r="L27" s="133">
        <f t="shared" si="3"/>
        <v>0</v>
      </c>
      <c r="M27" s="135" t="s">
        <v>5</v>
      </c>
    </row>
    <row r="28" spans="1:13" ht="13.35" customHeight="1">
      <c r="A28" s="50" t="s">
        <v>5</v>
      </c>
      <c r="B28" s="234"/>
      <c r="C28" s="84"/>
      <c r="D28" s="235"/>
      <c r="E28" s="236"/>
      <c r="F28" s="136"/>
      <c r="G28" s="237"/>
      <c r="H28" s="238"/>
      <c r="I28" s="239"/>
      <c r="J28" s="240" t="str">
        <f t="shared" si="2"/>
        <v/>
      </c>
      <c r="K28" s="200">
        <v>25</v>
      </c>
      <c r="L28" s="133">
        <f t="shared" si="3"/>
        <v>0</v>
      </c>
      <c r="M28" s="135" t="s">
        <v>5</v>
      </c>
    </row>
    <row r="29" spans="1:13" ht="13.35" customHeight="1">
      <c r="A29" s="50" t="s">
        <v>5</v>
      </c>
      <c r="B29" s="234"/>
      <c r="C29" s="84"/>
      <c r="D29" s="235"/>
      <c r="E29" s="236"/>
      <c r="F29" s="136"/>
      <c r="G29" s="237"/>
      <c r="H29" s="238"/>
      <c r="I29" s="239"/>
      <c r="J29" s="240" t="str">
        <f t="shared" si="2"/>
        <v/>
      </c>
      <c r="K29" s="200">
        <v>26</v>
      </c>
      <c r="L29" s="133">
        <f t="shared" si="3"/>
        <v>0</v>
      </c>
      <c r="M29" s="135" t="s">
        <v>5</v>
      </c>
    </row>
    <row r="30" spans="1:13" ht="13.35" customHeight="1">
      <c r="A30" s="50" t="s">
        <v>5</v>
      </c>
      <c r="B30" s="234"/>
      <c r="C30" s="84"/>
      <c r="D30" s="235"/>
      <c r="E30" s="236"/>
      <c r="F30" s="136"/>
      <c r="G30" s="237"/>
      <c r="H30" s="238"/>
      <c r="I30" s="239"/>
      <c r="J30" s="240" t="str">
        <f t="shared" si="2"/>
        <v/>
      </c>
      <c r="K30" s="200">
        <v>27</v>
      </c>
      <c r="L30" s="133">
        <f t="shared" si="3"/>
        <v>0</v>
      </c>
      <c r="M30" s="135" t="s">
        <v>5</v>
      </c>
    </row>
    <row r="31" spans="1:13" ht="13.35" customHeight="1">
      <c r="A31" s="50" t="s">
        <v>5</v>
      </c>
      <c r="B31" s="234"/>
      <c r="C31" s="84"/>
      <c r="D31" s="235"/>
      <c r="E31" s="236"/>
      <c r="F31" s="136"/>
      <c r="G31" s="237"/>
      <c r="H31" s="238"/>
      <c r="I31" s="239"/>
      <c r="J31" s="240" t="str">
        <f t="shared" si="2"/>
        <v/>
      </c>
      <c r="K31" s="200">
        <v>28</v>
      </c>
      <c r="L31" s="133">
        <f t="shared" si="3"/>
        <v>0</v>
      </c>
      <c r="M31" s="135" t="s">
        <v>5</v>
      </c>
    </row>
    <row r="32" spans="1:13" ht="13.35" customHeight="1">
      <c r="A32" s="50" t="s">
        <v>5</v>
      </c>
      <c r="B32" s="234"/>
      <c r="C32" s="84"/>
      <c r="D32" s="235"/>
      <c r="E32" s="236"/>
      <c r="F32" s="136"/>
      <c r="G32" s="237"/>
      <c r="H32" s="238"/>
      <c r="I32" s="239"/>
      <c r="J32" s="240" t="str">
        <f t="shared" si="2"/>
        <v/>
      </c>
      <c r="K32" s="200">
        <v>29</v>
      </c>
      <c r="L32" s="133">
        <f t="shared" si="3"/>
        <v>0</v>
      </c>
      <c r="M32" s="135" t="s">
        <v>5</v>
      </c>
    </row>
    <row r="33" spans="1:13" ht="13.35" customHeight="1">
      <c r="A33" s="50" t="s">
        <v>5</v>
      </c>
      <c r="B33" s="234"/>
      <c r="C33" s="84"/>
      <c r="D33" s="235"/>
      <c r="E33" s="236"/>
      <c r="F33" s="136"/>
      <c r="G33" s="237"/>
      <c r="H33" s="238"/>
      <c r="I33" s="239"/>
      <c r="J33" s="240" t="str">
        <f t="shared" si="2"/>
        <v/>
      </c>
      <c r="K33" s="200">
        <v>30</v>
      </c>
      <c r="L33" s="133">
        <f t="shared" si="3"/>
        <v>0</v>
      </c>
      <c r="M33" s="135" t="s">
        <v>5</v>
      </c>
    </row>
    <row r="34" spans="1:13" ht="13.35" customHeight="1">
      <c r="A34" s="50" t="s">
        <v>5</v>
      </c>
      <c r="B34" s="234"/>
      <c r="C34" s="84"/>
      <c r="D34" s="235"/>
      <c r="E34" s="236"/>
      <c r="F34" s="136"/>
      <c r="G34" s="237"/>
      <c r="H34" s="238"/>
      <c r="I34" s="239"/>
      <c r="J34" s="240" t="str">
        <f t="shared" si="2"/>
        <v/>
      </c>
      <c r="K34" s="200">
        <v>31</v>
      </c>
      <c r="L34" s="133">
        <f t="shared" si="3"/>
        <v>0</v>
      </c>
      <c r="M34" s="135" t="s">
        <v>5</v>
      </c>
    </row>
    <row r="35" spans="1:13" ht="13.35" customHeight="1">
      <c r="A35" s="50" t="s">
        <v>5</v>
      </c>
      <c r="B35" s="234"/>
      <c r="C35" s="84"/>
      <c r="D35" s="235"/>
      <c r="E35" s="236"/>
      <c r="F35" s="136"/>
      <c r="G35" s="237"/>
      <c r="H35" s="238"/>
      <c r="I35" s="239"/>
      <c r="J35" s="240" t="str">
        <f t="shared" si="2"/>
        <v/>
      </c>
      <c r="K35" s="200">
        <v>32</v>
      </c>
      <c r="L35" s="133">
        <f t="shared" si="3"/>
        <v>0</v>
      </c>
      <c r="M35" s="135" t="s">
        <v>5</v>
      </c>
    </row>
    <row r="36" spans="1:13" ht="13.35" customHeight="1">
      <c r="A36" s="50" t="s">
        <v>5</v>
      </c>
      <c r="B36" s="234"/>
      <c r="C36" s="84"/>
      <c r="D36" s="235"/>
      <c r="E36" s="236"/>
      <c r="F36" s="136"/>
      <c r="G36" s="237"/>
      <c r="H36" s="238"/>
      <c r="I36" s="239"/>
      <c r="J36" s="240" t="str">
        <f t="shared" si="2"/>
        <v/>
      </c>
      <c r="K36" s="200">
        <v>33</v>
      </c>
      <c r="L36" s="133">
        <f t="shared" si="3"/>
        <v>0</v>
      </c>
      <c r="M36" s="135" t="s">
        <v>5</v>
      </c>
    </row>
    <row r="37" spans="1:13" ht="13.35" customHeight="1">
      <c r="A37" s="50" t="s">
        <v>5</v>
      </c>
      <c r="B37" s="234"/>
      <c r="C37" s="84"/>
      <c r="D37" s="235"/>
      <c r="E37" s="236"/>
      <c r="F37" s="136"/>
      <c r="G37" s="237"/>
      <c r="H37" s="238"/>
      <c r="I37" s="239"/>
      <c r="J37" s="240" t="str">
        <f t="shared" si="2"/>
        <v/>
      </c>
      <c r="K37" s="200">
        <v>34</v>
      </c>
      <c r="L37" s="133">
        <f t="shared" si="3"/>
        <v>0</v>
      </c>
      <c r="M37" s="135" t="s">
        <v>5</v>
      </c>
    </row>
    <row r="38" spans="1:13" ht="13.35" customHeight="1">
      <c r="A38" s="50" t="s">
        <v>5</v>
      </c>
      <c r="B38" s="234"/>
      <c r="C38" s="84"/>
      <c r="D38" s="235"/>
      <c r="E38" s="236"/>
      <c r="F38" s="136"/>
      <c r="G38" s="237"/>
      <c r="H38" s="238"/>
      <c r="I38" s="239"/>
      <c r="J38" s="240" t="str">
        <f t="shared" si="2"/>
        <v/>
      </c>
      <c r="K38" s="200">
        <v>35</v>
      </c>
      <c r="L38" s="133">
        <f t="shared" si="3"/>
        <v>0</v>
      </c>
      <c r="M38" s="135" t="s">
        <v>5</v>
      </c>
    </row>
    <row r="39" spans="1:13" ht="13.35" customHeight="1">
      <c r="A39" s="50" t="s">
        <v>5</v>
      </c>
      <c r="B39" s="234"/>
      <c r="C39" s="84"/>
      <c r="D39" s="235"/>
      <c r="E39" s="236"/>
      <c r="F39" s="136"/>
      <c r="G39" s="237"/>
      <c r="H39" s="238"/>
      <c r="I39" s="239"/>
      <c r="J39" s="240" t="str">
        <f t="shared" si="2"/>
        <v/>
      </c>
      <c r="K39" s="200">
        <v>36</v>
      </c>
      <c r="L39" s="133">
        <f t="shared" si="3"/>
        <v>0</v>
      </c>
      <c r="M39" s="135" t="s">
        <v>5</v>
      </c>
    </row>
    <row r="40" spans="1:13" ht="13.35" customHeight="1">
      <c r="A40" s="50" t="s">
        <v>5</v>
      </c>
      <c r="B40" s="234"/>
      <c r="C40" s="84"/>
      <c r="D40" s="235"/>
      <c r="E40" s="236"/>
      <c r="F40" s="136"/>
      <c r="G40" s="237"/>
      <c r="H40" s="238"/>
      <c r="I40" s="239"/>
      <c r="J40" s="240" t="str">
        <f t="shared" si="2"/>
        <v/>
      </c>
      <c r="K40" s="200">
        <v>37</v>
      </c>
      <c r="L40" s="133">
        <f t="shared" si="3"/>
        <v>0</v>
      </c>
      <c r="M40" s="135" t="s">
        <v>5</v>
      </c>
    </row>
    <row r="41" spans="1:13" ht="13.35" customHeight="1">
      <c r="A41" s="50" t="s">
        <v>5</v>
      </c>
      <c r="B41" s="234"/>
      <c r="C41" s="84"/>
      <c r="D41" s="235"/>
      <c r="E41" s="236"/>
      <c r="F41" s="136"/>
      <c r="G41" s="237"/>
      <c r="H41" s="238"/>
      <c r="I41" s="239"/>
      <c r="J41" s="240" t="str">
        <f t="shared" si="2"/>
        <v/>
      </c>
      <c r="K41" s="200">
        <v>38</v>
      </c>
      <c r="L41" s="133">
        <f t="shared" si="3"/>
        <v>0</v>
      </c>
      <c r="M41" s="135" t="s">
        <v>5</v>
      </c>
    </row>
    <row r="42" spans="1:13" ht="13.35" customHeight="1">
      <c r="A42" s="50" t="s">
        <v>5</v>
      </c>
      <c r="B42" s="234"/>
      <c r="C42" s="84"/>
      <c r="D42" s="235"/>
      <c r="E42" s="236"/>
      <c r="F42" s="136"/>
      <c r="G42" s="237"/>
      <c r="H42" s="238"/>
      <c r="I42" s="239"/>
      <c r="J42" s="240" t="str">
        <f t="shared" si="2"/>
        <v/>
      </c>
      <c r="K42" s="200">
        <v>39</v>
      </c>
      <c r="L42" s="133">
        <f t="shared" si="3"/>
        <v>0</v>
      </c>
      <c r="M42" s="135" t="s">
        <v>5</v>
      </c>
    </row>
    <row r="43" spans="1:13" ht="13.35" customHeight="1">
      <c r="A43" s="50" t="s">
        <v>5</v>
      </c>
      <c r="B43" s="234"/>
      <c r="C43" s="84"/>
      <c r="D43" s="235"/>
      <c r="E43" s="236"/>
      <c r="F43" s="136"/>
      <c r="G43" s="237"/>
      <c r="H43" s="238"/>
      <c r="I43" s="239"/>
      <c r="J43" s="240" t="str">
        <f t="shared" si="2"/>
        <v/>
      </c>
      <c r="K43" s="200">
        <v>40</v>
      </c>
      <c r="L43" s="133">
        <f t="shared" si="3"/>
        <v>0</v>
      </c>
      <c r="M43" s="135" t="s">
        <v>5</v>
      </c>
    </row>
    <row r="44" spans="1:13" ht="13.35" customHeight="1">
      <c r="A44" s="50" t="s">
        <v>5</v>
      </c>
      <c r="B44" s="234"/>
      <c r="C44" s="84"/>
      <c r="D44" s="235"/>
      <c r="E44" s="236"/>
      <c r="F44" s="136"/>
      <c r="G44" s="237"/>
      <c r="H44" s="238"/>
      <c r="I44" s="239"/>
      <c r="J44" s="240" t="str">
        <f t="shared" si="2"/>
        <v/>
      </c>
      <c r="K44" s="200">
        <v>41</v>
      </c>
      <c r="L44" s="133">
        <f t="shared" si="3"/>
        <v>0</v>
      </c>
      <c r="M44" s="135" t="s">
        <v>5</v>
      </c>
    </row>
    <row r="45" spans="1:13" ht="13.35" customHeight="1">
      <c r="A45" s="50" t="s">
        <v>5</v>
      </c>
      <c r="B45" s="234"/>
      <c r="C45" s="84"/>
      <c r="D45" s="235"/>
      <c r="E45" s="236"/>
      <c r="F45" s="136"/>
      <c r="G45" s="237"/>
      <c r="H45" s="238"/>
      <c r="I45" s="239"/>
      <c r="J45" s="240" t="str">
        <f t="shared" ref="J45:J46" si="6">IF(G45&lt;&gt;0,+G45-I45,"")</f>
        <v/>
      </c>
      <c r="K45" s="200">
        <v>44</v>
      </c>
      <c r="L45" s="133">
        <f t="shared" ref="L45:L46" si="7">IF(B45&lt;$O$2,0,IF(B45&lt;$P$2,1,IF(B45&lt;$Q$2,2,IF(B45&lt;$R$2,3,IF(B45&lt;$S$2,4,IF(B45&lt;$T$2,5,IF(B45&lt;$U$2,6,IF(B45&lt;$V$2,7,IF(B45&lt;$W$2,8,IF(B45&lt;$X$2,9,IF(B45&lt;$Y$2,10,IF(B45&lt;$Z$2,11,IF(B45&lt;=$Z$3,12,0)))))))))))))</f>
        <v>0</v>
      </c>
      <c r="M45" s="135" t="s">
        <v>5</v>
      </c>
    </row>
    <row r="46" spans="1:13" ht="13.35" customHeight="1" thickBot="1">
      <c r="A46" s="50" t="s">
        <v>5</v>
      </c>
      <c r="B46" s="234"/>
      <c r="C46" s="84"/>
      <c r="D46" s="235"/>
      <c r="E46" s="236"/>
      <c r="F46" s="136"/>
      <c r="G46" s="237"/>
      <c r="H46" s="238"/>
      <c r="I46" s="239"/>
      <c r="J46" s="240" t="str">
        <f t="shared" si="6"/>
        <v/>
      </c>
      <c r="K46" s="200">
        <v>45</v>
      </c>
      <c r="L46" s="133">
        <f t="shared" si="7"/>
        <v>0</v>
      </c>
      <c r="M46" s="135" t="s">
        <v>5</v>
      </c>
    </row>
    <row r="47" spans="1:13" ht="12" customHeight="1" thickTop="1" thickBot="1">
      <c r="A47" s="391" t="s">
        <v>283</v>
      </c>
      <c r="B47" s="1244" t="str">
        <f>IF($A$48=0,"^ Zeile einfügen","bis hierher ziehen!")</f>
        <v>^ Zeile einfügen</v>
      </c>
      <c r="C47" s="1244"/>
      <c r="D47" s="392" t="s">
        <v>5</v>
      </c>
      <c r="E47" s="393" t="s">
        <v>5</v>
      </c>
      <c r="F47" s="394" t="s">
        <v>5</v>
      </c>
      <c r="G47" s="394"/>
      <c r="H47" s="395"/>
      <c r="I47" s="396"/>
      <c r="J47" s="425"/>
      <c r="K47" s="201">
        <v>0</v>
      </c>
      <c r="L47" s="185" t="s">
        <v>5</v>
      </c>
      <c r="M47" s="398" t="s">
        <v>283</v>
      </c>
    </row>
    <row r="48" spans="1:13" ht="12" customHeight="1" thickTop="1" thickBot="1">
      <c r="A48" s="390">
        <f>COUNTBLANK(A3:A47)+A49</f>
        <v>0</v>
      </c>
      <c r="B48" s="193" t="str">
        <f>+EÜR!C13</f>
        <v>ü</v>
      </c>
      <c r="C48" s="194" t="s">
        <v>5</v>
      </c>
      <c r="D48" s="194" t="s">
        <v>5</v>
      </c>
      <c r="E48" s="195" t="s">
        <v>5</v>
      </c>
      <c r="F48" s="196" t="s">
        <v>5</v>
      </c>
      <c r="G48" s="197">
        <f>SUBTOTAL(9,G3:G47)</f>
        <v>0</v>
      </c>
      <c r="H48" s="1242"/>
      <c r="I48" s="1243"/>
      <c r="J48" s="1253">
        <f>G48-H48</f>
        <v>0</v>
      </c>
      <c r="K48" s="1254"/>
      <c r="L48" s="1255"/>
      <c r="M48" s="135" t="s">
        <v>5</v>
      </c>
    </row>
    <row r="49" spans="1:14" ht="12" customHeight="1" thickTop="1" thickBot="1">
      <c r="A49" s="390">
        <f>IF(ISERROR(J47),1,0)</f>
        <v>0</v>
      </c>
      <c r="B49" s="192">
        <f>J48-G49-E49-C49</f>
        <v>0</v>
      </c>
      <c r="C49" s="1239">
        <f>SUMIF(F4:F47,"Kreditkarte",G4:G47)</f>
        <v>0</v>
      </c>
      <c r="D49" s="1239"/>
      <c r="E49" s="1240">
        <f>SUMIF(F4:F47,"Konto",G4:G47)</f>
        <v>0</v>
      </c>
      <c r="F49" s="1240"/>
      <c r="G49" s="1241">
        <f>SUMIF(F4:F47,"Geldbeutel",G4:G47)</f>
        <v>0</v>
      </c>
      <c r="H49" s="1241"/>
      <c r="I49" s="1241"/>
      <c r="J49" s="1256"/>
      <c r="K49" s="1257"/>
      <c r="L49" s="1258"/>
      <c r="M49" s="135" t="s">
        <v>5</v>
      </c>
    </row>
    <row r="50" spans="1:14" s="15" customFormat="1" ht="5.25" customHeight="1" thickTop="1">
      <c r="A50" s="36"/>
      <c r="B50" s="2"/>
      <c r="C50" s="3"/>
      <c r="D50" s="3"/>
      <c r="E50" s="1"/>
      <c r="G50" s="16"/>
      <c r="H50" s="16"/>
      <c r="I50" s="17"/>
      <c r="J50" s="18"/>
      <c r="K50" s="18"/>
      <c r="L50" s="31"/>
      <c r="N50" s="148"/>
    </row>
    <row r="51" spans="1:14">
      <c r="A51" s="36"/>
    </row>
  </sheetData>
  <sheetProtection selectLockedCells="1"/>
  <mergeCells count="14">
    <mergeCell ref="AA9:AB9"/>
    <mergeCell ref="O10:Z10"/>
    <mergeCell ref="O11:Z11"/>
    <mergeCell ref="C2:I2"/>
    <mergeCell ref="J2:L2"/>
    <mergeCell ref="AA4:AB4"/>
    <mergeCell ref="H8:I8"/>
    <mergeCell ref="C8:G8"/>
    <mergeCell ref="B47:C47"/>
    <mergeCell ref="H48:I48"/>
    <mergeCell ref="J48:L49"/>
    <mergeCell ref="C49:D49"/>
    <mergeCell ref="E49:F49"/>
    <mergeCell ref="G49:I49"/>
  </mergeCells>
  <conditionalFormatting sqref="A4:A46">
    <cfRule type="expression" dxfId="1560" priority="17">
      <formula>ISERROR(J4)</formula>
    </cfRule>
    <cfRule type="cellIs" dxfId="1559" priority="18" operator="equal">
      <formula>""</formula>
    </cfRule>
  </conditionalFormatting>
  <conditionalFormatting sqref="A47:C47">
    <cfRule type="expression" dxfId="1558" priority="2">
      <formula>$A$48&lt;&gt;0</formula>
    </cfRule>
  </conditionalFormatting>
  <conditionalFormatting sqref="B2">
    <cfRule type="expression" dxfId="1557" priority="28" stopIfTrue="1">
      <formula>$B$48="x"</formula>
    </cfRule>
  </conditionalFormatting>
  <conditionalFormatting sqref="B48">
    <cfRule type="cellIs" dxfId="1556" priority="61" operator="equal">
      <formula>"y"</formula>
    </cfRule>
  </conditionalFormatting>
  <conditionalFormatting sqref="C49:I49">
    <cfRule type="cellIs" dxfId="1554" priority="58" stopIfTrue="1" operator="greaterThanOrEqual">
      <formula>0</formula>
    </cfRule>
    <cfRule type="cellIs" dxfId="1553" priority="60" stopIfTrue="1" operator="lessThan">
      <formula>0</formula>
    </cfRule>
  </conditionalFormatting>
  <conditionalFormatting sqref="D47:J47">
    <cfRule type="expression" dxfId="1552" priority="4">
      <formula>$A$48&lt;&gt;0</formula>
    </cfRule>
  </conditionalFormatting>
  <conditionalFormatting sqref="J48:L48 C49:L49 C48:H48">
    <cfRule type="expression" dxfId="1550" priority="57">
      <formula>$B$48="x"</formula>
    </cfRule>
  </conditionalFormatting>
  <conditionalFormatting sqref="J48:L49">
    <cfRule type="expression" dxfId="1549" priority="56">
      <formula>AND($B$48="x",$J$48&lt;&gt;0)</formula>
    </cfRule>
  </conditionalFormatting>
  <conditionalFormatting sqref="M3">
    <cfRule type="cellIs" dxfId="1548" priority="26" operator="equal">
      <formula>""</formula>
    </cfRule>
  </conditionalFormatting>
  <conditionalFormatting sqref="M4:M46">
    <cfRule type="expression" dxfId="1547" priority="24">
      <formula>ISERROR(J4)</formula>
    </cfRule>
    <cfRule type="cellIs" dxfId="1546" priority="25" operator="equal">
      <formula>""</formula>
    </cfRule>
  </conditionalFormatting>
  <conditionalFormatting sqref="M47">
    <cfRule type="expression" dxfId="1545" priority="3">
      <formula>$A$48&lt;&gt;0</formula>
    </cfRule>
  </conditionalFormatting>
  <conditionalFormatting sqref="M47:M49">
    <cfRule type="cellIs" dxfId="1544" priority="6" operator="equal">
      <formula>""</formula>
    </cfRule>
  </conditionalFormatting>
  <conditionalFormatting sqref="O11:Z11">
    <cfRule type="cellIs" dxfId="1543" priority="42" operator="equal">
      <formula>"Fehler!"</formula>
    </cfRule>
  </conditionalFormatting>
  <conditionalFormatting sqref="O4:AA4 O10:AB49">
    <cfRule type="expression" dxfId="1542" priority="27">
      <formula>$N$2=0</formula>
    </cfRule>
  </conditionalFormatting>
  <conditionalFormatting sqref="O2:AB3">
    <cfRule type="expression" dxfId="1540" priority="1">
      <formula>$N$2=0</formula>
    </cfRule>
  </conditionalFormatting>
  <conditionalFormatting sqref="O5:AB8 O9:AA9 N10">
    <cfRule type="expression" dxfId="1539" priority="41">
      <formula>$N$2=0</formula>
    </cfRule>
  </conditionalFormatting>
  <hyperlinks>
    <hyperlink ref="J2" location="'2022 EÜR'!A1" display="Menü" xr:uid="{FE9EDB32-E7A1-4D7A-B26E-6D9440C99BA1}"/>
    <hyperlink ref="J2:L2" location="EÜR!A1" display="EÜR" xr:uid="{F64EEC4F-F6D4-4882-8CDA-C58F6F5E5364}"/>
  </hyperlinks>
  <printOptions horizontalCentered="1"/>
  <pageMargins left="0" right="0" top="0" bottom="0.31496062992125984" header="0" footer="0"/>
  <pageSetup paperSize="9" orientation="portrait" r:id="rId1"/>
  <headerFooter>
    <oddFooter>&amp;L&amp;"Arial,Standard"&amp;8Datei: &amp;Z&amp;F/&amp;A&amp;C&amp;"Arial,Standard"&amp;8Seite &amp;P von &amp;N&amp;R&amp;"Arial,Standard"&amp;8Druck: &amp;D&amp;T Uhr</oddFooter>
  </headerFooter>
  <extLst>
    <ext xmlns:x14="http://schemas.microsoft.com/office/spreadsheetml/2009/9/main" uri="{78C0D931-6437-407d-A8EE-F0AAD7539E65}">
      <x14:conditionalFormattings>
        <x14:conditionalFormatting xmlns:xm="http://schemas.microsoft.com/office/excel/2006/main">
          <x14:cfRule type="expression" priority="17726" id="{985910AB-A411-404E-9B33-8E09191F6845}">
            <xm:f>OR($B$48="x",EÜR!$J$66="-")</xm:f>
            <x14:dxf>
              <font>
                <b/>
                <i val="0"/>
                <color theme="0" tint="-0.24994659260841701"/>
              </font>
              <fill>
                <patternFill>
                  <bgColor rgb="FF808080"/>
                </patternFill>
              </fill>
            </x14:dxf>
          </x14:cfRule>
          <xm:sqref>B3:J7 B8:C8 H8:J8 B9:J46</xm:sqref>
        </x14:conditionalFormatting>
        <x14:conditionalFormatting xmlns:xm="http://schemas.microsoft.com/office/excel/2006/main">
          <x14:cfRule type="expression" priority="39" id="{8374BD48-365A-4011-B7F4-26F7682AC66E}">
            <xm:f>AND(EÜR!$J$66&lt;&gt;"ü",$H$48&lt;&gt;0)</xm:f>
            <x14:dxf>
              <font>
                <b/>
                <i val="0"/>
                <color rgb="FFFFFF00"/>
              </font>
              <fill>
                <patternFill>
                  <bgColor rgb="FFFF0000"/>
                </patternFill>
              </fill>
            </x14:dxf>
          </x14:cfRule>
          <xm:sqref>H48:I48</xm:sqref>
        </x14:conditionalFormatting>
        <x14:conditionalFormatting xmlns:xm="http://schemas.microsoft.com/office/excel/2006/main">
          <x14:cfRule type="expression" priority="40" id="{93DFCF15-D1C6-4CEA-A059-364A442780F3}">
            <xm:f>EÜR!$J$66="-"</xm:f>
            <x14:dxf>
              <font>
                <b/>
                <i val="0"/>
                <color theme="0"/>
              </font>
              <fill>
                <patternFill>
                  <bgColor theme="0"/>
                </patternFill>
              </fill>
              <border>
                <left/>
                <right/>
                <top/>
                <bottom/>
              </border>
            </x14:dxf>
          </x14:cfRule>
          <xm:sqref>O12:AA14</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BE9F2D-4935-41E1-A0FF-0FAD024DC1F2}">
  <sheetPr codeName="Tabelle6">
    <tabColor theme="7" tint="0.59999389629810485"/>
    <pageSetUpPr autoPageBreaks="0"/>
  </sheetPr>
  <dimension ref="A1:AB51"/>
  <sheetViews>
    <sheetView showGridLines="0" showRowColHeaders="0" zoomScaleNormal="100" workbookViewId="0">
      <pane ySplit="3" topLeftCell="A4" activePane="bottomLeft" state="frozen"/>
      <selection activeCell="F12" sqref="F12"/>
      <selection pane="bottomLeft" activeCell="A4" sqref="A4"/>
    </sheetView>
  </sheetViews>
  <sheetFormatPr baseColWidth="10" defaultColWidth="9.77734375" defaultRowHeight="12.75"/>
  <cols>
    <col min="1" max="1" width="0.77734375" style="12" customWidth="1"/>
    <col min="2" max="2" width="7.6640625" style="30" customWidth="1"/>
    <col min="3" max="3" width="21.6640625" style="24" customWidth="1"/>
    <col min="4" max="4" width="7.6640625" style="24" customWidth="1"/>
    <col min="5" max="5" width="6.6640625" style="25" customWidth="1"/>
    <col min="6" max="6" width="9.6640625" style="26" customWidth="1"/>
    <col min="7" max="7" width="9.6640625" style="27" customWidth="1"/>
    <col min="8" max="8" width="2.6640625" style="28" customWidth="1"/>
    <col min="9" max="9" width="6.6640625" style="29" customWidth="1"/>
    <col min="10" max="10" width="9.6640625" style="27" customWidth="1"/>
    <col min="11" max="11" width="2.5546875" style="27" hidden="1" customWidth="1"/>
    <col min="12" max="12" width="1.5546875" style="32" hidden="1" customWidth="1"/>
    <col min="13" max="13" width="0.77734375" style="13" customWidth="1"/>
    <col min="14" max="14" width="1.77734375" style="147" customWidth="1"/>
    <col min="15" max="26" width="8.77734375" style="13" customWidth="1"/>
    <col min="27" max="27" width="10.33203125" style="13" customWidth="1"/>
    <col min="28" max="28" width="8.33203125" style="13" customWidth="1"/>
    <col min="29" max="16384" width="9.77734375" style="13"/>
  </cols>
  <sheetData>
    <row r="1" spans="1:28" s="37" customFormat="1" ht="3" customHeight="1" thickBot="1">
      <c r="A1" s="36"/>
      <c r="B1" s="53" t="str">
        <f>+B48</f>
        <v>ü</v>
      </c>
      <c r="C1" s="54">
        <f>+C49</f>
        <v>0</v>
      </c>
      <c r="D1" s="54"/>
      <c r="E1" s="53">
        <f>+E49</f>
        <v>0</v>
      </c>
      <c r="F1" s="53"/>
      <c r="G1" s="54">
        <f>+G49</f>
        <v>0</v>
      </c>
      <c r="H1" s="53"/>
      <c r="I1" s="338" t="str">
        <f>+EÜR!J66</f>
        <v>-</v>
      </c>
      <c r="J1" s="54">
        <f>+J48</f>
        <v>0</v>
      </c>
      <c r="K1" s="198"/>
      <c r="L1" s="56"/>
      <c r="N1" s="190"/>
    </row>
    <row r="2" spans="1:28" ht="23.1" customHeight="1" thickTop="1" thickBot="1">
      <c r="A2" s="36"/>
      <c r="B2" s="295" t="str">
        <f>+EÜR!D14</f>
        <v>U07</v>
      </c>
      <c r="C2" s="1262" t="str">
        <f>+EÜR!F14</f>
        <v>vom FA erstattete Umsatzsteuer</v>
      </c>
      <c r="D2" s="1263"/>
      <c r="E2" s="1263"/>
      <c r="F2" s="1263"/>
      <c r="G2" s="1263"/>
      <c r="H2" s="1263"/>
      <c r="I2" s="1264"/>
      <c r="J2" s="1227" t="s">
        <v>8</v>
      </c>
      <c r="K2" s="1228"/>
      <c r="L2" s="1229"/>
      <c r="M2" s="134"/>
      <c r="N2" s="190">
        <f>IF(OR(B48="x",N3=1),0,1)</f>
        <v>1</v>
      </c>
      <c r="O2" s="188">
        <f>+EOMONTH(EÜR!$I$3,-1)+1</f>
        <v>46023</v>
      </c>
      <c r="P2" s="188">
        <f t="shared" ref="P2:Z2" si="0">+O3+1</f>
        <v>46054</v>
      </c>
      <c r="Q2" s="188">
        <f t="shared" si="0"/>
        <v>46082</v>
      </c>
      <c r="R2" s="188">
        <f t="shared" si="0"/>
        <v>46113</v>
      </c>
      <c r="S2" s="188">
        <f t="shared" si="0"/>
        <v>46143</v>
      </c>
      <c r="T2" s="188">
        <f t="shared" si="0"/>
        <v>46174</v>
      </c>
      <c r="U2" s="188">
        <f t="shared" si="0"/>
        <v>46204</v>
      </c>
      <c r="V2" s="188">
        <f t="shared" si="0"/>
        <v>46235</v>
      </c>
      <c r="W2" s="188">
        <f t="shared" si="0"/>
        <v>46266</v>
      </c>
      <c r="X2" s="188">
        <f t="shared" si="0"/>
        <v>46296</v>
      </c>
      <c r="Y2" s="188">
        <f t="shared" si="0"/>
        <v>46327</v>
      </c>
      <c r="Z2" s="188">
        <f t="shared" si="0"/>
        <v>46357</v>
      </c>
      <c r="AA2" s="48"/>
    </row>
    <row r="3" spans="1:28" ht="14.25" customHeight="1" thickTop="1">
      <c r="A3" s="36" t="s">
        <v>5</v>
      </c>
      <c r="B3" s="58" t="s">
        <v>1</v>
      </c>
      <c r="C3" s="59" t="s">
        <v>6</v>
      </c>
      <c r="D3" s="60"/>
      <c r="E3" s="310" t="s">
        <v>7</v>
      </c>
      <c r="F3" s="61" t="s">
        <v>4</v>
      </c>
      <c r="G3" s="1118" t="s">
        <v>31</v>
      </c>
      <c r="H3" s="63"/>
      <c r="I3" s="64"/>
      <c r="J3" s="273" t="s">
        <v>213</v>
      </c>
      <c r="K3" s="199">
        <v>0</v>
      </c>
      <c r="L3" s="65" t="s">
        <v>5</v>
      </c>
      <c r="M3" s="135" t="s">
        <v>5</v>
      </c>
      <c r="N3" s="222">
        <f>IF(SUBTOTAL(109,K3:K47)&lt;&gt;SUM(K3:K47),1,0)</f>
        <v>0</v>
      </c>
      <c r="O3" s="189">
        <f>EOMONTH(O2,0)</f>
        <v>46053</v>
      </c>
      <c r="P3" s="189">
        <f t="shared" ref="P3:Z3" si="1">EOMONTH(P2,0)</f>
        <v>46081</v>
      </c>
      <c r="Q3" s="189">
        <f t="shared" si="1"/>
        <v>46112</v>
      </c>
      <c r="R3" s="189">
        <f t="shared" si="1"/>
        <v>46142</v>
      </c>
      <c r="S3" s="189">
        <f t="shared" si="1"/>
        <v>46173</v>
      </c>
      <c r="T3" s="189">
        <f t="shared" si="1"/>
        <v>46203</v>
      </c>
      <c r="U3" s="189">
        <f t="shared" si="1"/>
        <v>46234</v>
      </c>
      <c r="V3" s="189">
        <f t="shared" si="1"/>
        <v>46265</v>
      </c>
      <c r="W3" s="189">
        <f t="shared" si="1"/>
        <v>46295</v>
      </c>
      <c r="X3" s="189">
        <f t="shared" si="1"/>
        <v>46326</v>
      </c>
      <c r="Y3" s="189">
        <f t="shared" si="1"/>
        <v>46356</v>
      </c>
      <c r="Z3" s="189">
        <f t="shared" si="1"/>
        <v>46387</v>
      </c>
      <c r="AB3" s="14"/>
    </row>
    <row r="4" spans="1:28" ht="13.35" customHeight="1">
      <c r="A4" s="50" t="s">
        <v>5</v>
      </c>
      <c r="B4" s="234" t="str">
        <f>+U!$L$37</f>
        <v>!</v>
      </c>
      <c r="C4" s="84" t="s">
        <v>219</v>
      </c>
      <c r="D4" s="283">
        <f>+U!$L$28</f>
        <v>0</v>
      </c>
      <c r="E4" s="236" t="s">
        <v>242</v>
      </c>
      <c r="F4" s="1115"/>
      <c r="G4" s="1119"/>
      <c r="H4" s="228"/>
      <c r="I4" s="229"/>
      <c r="J4" s="379" t="str">
        <f>IF(G4&lt;&gt;0,+G4-I4,"")</f>
        <v/>
      </c>
      <c r="K4" s="200">
        <v>1</v>
      </c>
      <c r="L4" s="133">
        <f>IF(B4&lt;$O$2,0,IF(B4&lt;$P$2,1,IF(B4&lt;$Q$2,2,IF(B4&lt;$R$2,3,IF(B4&lt;$S$2,4,IF(B4&lt;$T$2,5,IF(B4&lt;$U$2,6,IF(B4&lt;$V$2,7,IF(B4&lt;$W$2,8,IF(B4&lt;$X$2,9,IF(B4&lt;$Y$2,10,IF(B4&lt;$Z$2,11,IF(B4&lt;=$Z$3,12,0)))))))))))))</f>
        <v>0</v>
      </c>
      <c r="M4" s="135" t="s">
        <v>5</v>
      </c>
      <c r="N4" s="190">
        <f>+N10+AA12+AA16</f>
        <v>0</v>
      </c>
      <c r="O4" s="251" t="s">
        <v>36</v>
      </c>
      <c r="P4" s="251" t="s">
        <v>37</v>
      </c>
      <c r="Q4" s="251" t="s">
        <v>38</v>
      </c>
      <c r="R4" s="251" t="s">
        <v>39</v>
      </c>
      <c r="S4" s="251" t="s">
        <v>40</v>
      </c>
      <c r="T4" s="251" t="s">
        <v>41</v>
      </c>
      <c r="U4" s="251" t="s">
        <v>42</v>
      </c>
      <c r="V4" s="251" t="s">
        <v>43</v>
      </c>
      <c r="W4" s="251" t="s">
        <v>44</v>
      </c>
      <c r="X4" s="251" t="s">
        <v>45</v>
      </c>
      <c r="Y4" s="251" t="s">
        <v>46</v>
      </c>
      <c r="Z4" s="251" t="s">
        <v>47</v>
      </c>
      <c r="AA4" s="1209" t="s">
        <v>255</v>
      </c>
      <c r="AB4" s="1210"/>
    </row>
    <row r="5" spans="1:28" ht="13.35" customHeight="1">
      <c r="A5" s="50" t="s">
        <v>5</v>
      </c>
      <c r="B5" s="234" t="str">
        <f>+U!$M$37</f>
        <v>!</v>
      </c>
      <c r="C5" s="84" t="s">
        <v>220</v>
      </c>
      <c r="D5" s="283">
        <f>+U!$M$28</f>
        <v>0</v>
      </c>
      <c r="E5" s="236" t="s">
        <v>243</v>
      </c>
      <c r="F5" s="1115"/>
      <c r="G5" s="1119"/>
      <c r="H5" s="228"/>
      <c r="I5" s="229"/>
      <c r="J5" s="281" t="str">
        <f t="shared" ref="J5:J44" si="2">IF(G5&lt;&gt;0,+G5-I5,"")</f>
        <v/>
      </c>
      <c r="K5" s="200">
        <v>2</v>
      </c>
      <c r="L5" s="133">
        <f t="shared" ref="L5:L44" si="3">IF(B5&lt;$O$2,0,IF(B5&lt;$P$2,1,IF(B5&lt;$Q$2,2,IF(B5&lt;$R$2,3,IF(B5&lt;$S$2,4,IF(B5&lt;$T$2,5,IF(B5&lt;$U$2,6,IF(B5&lt;$V$2,7,IF(B5&lt;$W$2,8,IF(B5&lt;$X$2,9,IF(B5&lt;$Y$2,10,IF(B5&lt;$Z$2,11,IF(B5&lt;=$Z$3,12,0)))))))))))))</f>
        <v>0</v>
      </c>
      <c r="M5" s="135" t="s">
        <v>5</v>
      </c>
      <c r="O5" s="252">
        <f>SUMIFS($G$3:$G$47,$L$3:$L$47,1,$F$3:$F$47,"Konto")</f>
        <v>0</v>
      </c>
      <c r="P5" s="252">
        <f>SUMIFS($G$3:$G$47,$L$3:$L$47,2,$F$3:$F$47,"Konto")</f>
        <v>0</v>
      </c>
      <c r="Q5" s="252">
        <f>SUMIFS($G$3:$G$47,$L$3:$L$47,3,$F$3:$F$47,"Konto")</f>
        <v>0</v>
      </c>
      <c r="R5" s="252">
        <f>SUMIFS($G$3:$G$47,$L$3:$L$47,4,$F$3:$F$47,"Konto")</f>
        <v>0</v>
      </c>
      <c r="S5" s="252">
        <f>SUMIFS($G$3:$G$47,$L$3:$L$47,5,$F$3:$F$47,"Konto")</f>
        <v>0</v>
      </c>
      <c r="T5" s="252">
        <f>SUMIFS($G$3:$G$47,$L$3:$L$47,6,$F$3:$F$47,"Konto")</f>
        <v>0</v>
      </c>
      <c r="U5" s="252">
        <f>SUMIFS($G$3:$G$47,$L$3:$L$47,7,$F$3:$F$47,"Konto")</f>
        <v>0</v>
      </c>
      <c r="V5" s="252">
        <f>SUMIFS($G$3:$G$47,$L$3:$L$47,8,$F$3:$F$47,"Konto")</f>
        <v>0</v>
      </c>
      <c r="W5" s="252">
        <f>SUMIFS($G$3:$G$47,$L$3:$L$47,9,$F$3:$F$47,"Konto")</f>
        <v>0</v>
      </c>
      <c r="X5" s="252">
        <f>SUMIFS($G$3:$G$47,$L$3:$L$47,10,$F$3:$F$47,"Konto")</f>
        <v>0</v>
      </c>
      <c r="Y5" s="252">
        <f>SUMIFS($G$3:$G$47,$L$3:$L$47,11,$F$3:$F$47,"Konto")</f>
        <v>0</v>
      </c>
      <c r="Z5" s="252">
        <f>SUMIFS($G$3:$G$47,$L$3:$L$47,12,$F$3:$F$47,"Konto")</f>
        <v>0</v>
      </c>
      <c r="AA5" s="253">
        <f>SUM(O5:Z5)</f>
        <v>0</v>
      </c>
      <c r="AB5" s="254" t="s">
        <v>140</v>
      </c>
    </row>
    <row r="6" spans="1:28" ht="13.35" customHeight="1">
      <c r="A6" s="50" t="s">
        <v>5</v>
      </c>
      <c r="B6" s="234" t="str">
        <f>+U!$N$37</f>
        <v>!</v>
      </c>
      <c r="C6" s="84" t="s">
        <v>221</v>
      </c>
      <c r="D6" s="283">
        <f>+U!$N$28</f>
        <v>0</v>
      </c>
      <c r="E6" s="236" t="s">
        <v>244</v>
      </c>
      <c r="F6" s="1115"/>
      <c r="G6" s="1119"/>
      <c r="H6" s="228"/>
      <c r="I6" s="229"/>
      <c r="J6" s="281" t="str">
        <f t="shared" si="2"/>
        <v/>
      </c>
      <c r="K6" s="200">
        <v>3</v>
      </c>
      <c r="L6" s="133">
        <f t="shared" si="3"/>
        <v>0</v>
      </c>
      <c r="M6" s="135" t="s">
        <v>5</v>
      </c>
      <c r="N6" s="190"/>
      <c r="O6" s="252">
        <f>SUMIFS($G$3:$G$47,$L$3:$L$47,1,$F$3:$F$47,"Kreditkarte")</f>
        <v>0</v>
      </c>
      <c r="P6" s="252">
        <f>SUMIFS($G$3:$G$47,$L$3:$L$47,2,$F$3:$F$47,"Kreditkarte")</f>
        <v>0</v>
      </c>
      <c r="Q6" s="252">
        <f>SUMIFS($G$3:$G$47,$L$3:$L$47,3,$F$3:$F$47,"Kreditkarte")</f>
        <v>0</v>
      </c>
      <c r="R6" s="252">
        <f>SUMIFS($G$3:$G$47,$L$3:$L$47,4,$F$3:$F$47,"Kreditkarte")</f>
        <v>0</v>
      </c>
      <c r="S6" s="252">
        <f>SUMIFS($G$3:$G$47,$L$3:$L$47,5,$F$3:$F$47,"Kreditkarte")</f>
        <v>0</v>
      </c>
      <c r="T6" s="252">
        <f>SUMIFS($G$3:$G$47,$L$3:$L$47,6,$F$3:$F$47,"Kreditkarte")</f>
        <v>0</v>
      </c>
      <c r="U6" s="252">
        <f>SUMIFS($G$3:$G$47,$L$3:$L$47,7,$F$3:$F$47,"Kreditkarte")</f>
        <v>0</v>
      </c>
      <c r="V6" s="252">
        <f>SUMIFS($G$3:$G$47,$L$3:$L$47,8,$F$3:$F$47,"Kreditkarte")</f>
        <v>0</v>
      </c>
      <c r="W6" s="252">
        <f>SUMIFS($G$3:$G$47,$L$3:$L$47,9,$F$3:$F$47,"Kreditkarte")</f>
        <v>0</v>
      </c>
      <c r="X6" s="252">
        <f>SUMIFS($G$3:$G$47,$L$3:$L$47,10,$F$3:$F$47,"Kreditkarte")</f>
        <v>0</v>
      </c>
      <c r="Y6" s="252">
        <f>SUMIFS($G$3:$G$47,$L$3:$L$47,11,$F$3:$F$47,"Kreditkarte")</f>
        <v>0</v>
      </c>
      <c r="Z6" s="252">
        <f>SUMIFS($G$3:$G$47,$L$3:$L$47,12,$F$3:$F$47,"Kreditkarte")</f>
        <v>0</v>
      </c>
      <c r="AA6" s="255">
        <f t="shared" ref="AA6:AA8" si="4">SUM(O6:Z6)</f>
        <v>0</v>
      </c>
      <c r="AB6" s="256" t="s">
        <v>142</v>
      </c>
    </row>
    <row r="7" spans="1:28" ht="13.35" customHeight="1">
      <c r="A7" s="50" t="s">
        <v>5</v>
      </c>
      <c r="B7" s="234" t="str">
        <f>+U!$O$37</f>
        <v>!</v>
      </c>
      <c r="C7" s="84" t="s">
        <v>222</v>
      </c>
      <c r="D7" s="283">
        <f>+U!$O$28</f>
        <v>0</v>
      </c>
      <c r="E7" s="236" t="s">
        <v>245</v>
      </c>
      <c r="F7" s="1115"/>
      <c r="G7" s="1119"/>
      <c r="H7" s="228"/>
      <c r="I7" s="229"/>
      <c r="J7" s="281" t="str">
        <f t="shared" si="2"/>
        <v/>
      </c>
      <c r="K7" s="200">
        <v>4</v>
      </c>
      <c r="L7" s="133">
        <f t="shared" si="3"/>
        <v>0</v>
      </c>
      <c r="M7" s="135" t="s">
        <v>5</v>
      </c>
      <c r="O7" s="252">
        <f>SUMIFS($G$3:$G$47,$L$3:$L$47,1,$F$3:$F$47,"Geldbeutel")</f>
        <v>0</v>
      </c>
      <c r="P7" s="252">
        <f>SUMIFS($G$3:$G$47,$L$3:$L$47,2,$F$3:$F$47,"Geldbeutel")</f>
        <v>0</v>
      </c>
      <c r="Q7" s="252">
        <f>SUMIFS($G$3:$G$47,$L$3:$L$47,3,$F$3:$F$47,"Geldbeutel")</f>
        <v>0</v>
      </c>
      <c r="R7" s="252">
        <f>SUMIFS($G$3:$G$47,$L$3:$L$47,4,$F$3:$F$47,"Geldbeutel")</f>
        <v>0</v>
      </c>
      <c r="S7" s="252">
        <f>SUMIFS($G$3:$G$47,$L$3:$L$47,5,$F$3:$F$47,"Geldbeutel")</f>
        <v>0</v>
      </c>
      <c r="T7" s="252">
        <f>SUMIFS($G$3:$G$47,$L$3:$L$47,6,$F$3:$F$47,"Geldbeutel")</f>
        <v>0</v>
      </c>
      <c r="U7" s="252">
        <f>SUMIFS($G$3:$G$47,$L$3:$L$47,7,$F$3:$F$47,"Geldbeutel")</f>
        <v>0</v>
      </c>
      <c r="V7" s="252">
        <f>SUMIFS($G$3:$G$47,$L$3:$L$47,8,$F$3:$F$47,"Geldbeutel")</f>
        <v>0</v>
      </c>
      <c r="W7" s="252">
        <f>SUMIFS($G$3:$G$47,$L$3:$L$47,9,$F$3:$F$47,"Geldbeutel")</f>
        <v>0</v>
      </c>
      <c r="X7" s="252">
        <f>SUMIFS($G$3:$G$47,$L$3:$L$47,10,$F$3:$F$47,"Geldbeutel")</f>
        <v>0</v>
      </c>
      <c r="Y7" s="252">
        <f>SUMIFS($G$3:$G$47,$L$3:$L$47,11,$F$3:$F$47,"Geldbeutel")</f>
        <v>0</v>
      </c>
      <c r="Z7" s="252">
        <f>SUMIFS($G$3:$G$47,$L$3:$L$47,12,$F$3:$F$47,"Geldbeutel")</f>
        <v>0</v>
      </c>
      <c r="AA7" s="253">
        <f t="shared" si="4"/>
        <v>0</v>
      </c>
      <c r="AB7" s="254" t="s">
        <v>139</v>
      </c>
    </row>
    <row r="8" spans="1:28" ht="13.35" customHeight="1">
      <c r="A8" s="50" t="s">
        <v>5</v>
      </c>
      <c r="B8" s="234" t="str">
        <f>+U!$P$37</f>
        <v>!</v>
      </c>
      <c r="C8" s="84" t="s">
        <v>218</v>
      </c>
      <c r="D8" s="283">
        <f>+U!$P$28</f>
        <v>0</v>
      </c>
      <c r="E8" s="236" t="s">
        <v>246</v>
      </c>
      <c r="F8" s="1115"/>
      <c r="G8" s="1119"/>
      <c r="H8" s="228"/>
      <c r="I8" s="229"/>
      <c r="J8" s="281" t="str">
        <f t="shared" si="2"/>
        <v/>
      </c>
      <c r="K8" s="200">
        <v>5</v>
      </c>
      <c r="L8" s="133">
        <f t="shared" si="3"/>
        <v>0</v>
      </c>
      <c r="M8" s="135" t="s">
        <v>5</v>
      </c>
      <c r="O8" s="252">
        <f>SUMIFS($G$3:$G$47,$L$3:$L$47,1,$F$3:$F$47,"X")</f>
        <v>0</v>
      </c>
      <c r="P8" s="252">
        <f>SUMIFS($G$3:$G$47,$L$3:$L$47,2,$F$3:$F$47,"X")</f>
        <v>0</v>
      </c>
      <c r="Q8" s="252">
        <f>SUMIFS($G$3:$G$47,$L$3:$L$47,3,$F$3:$F$47,"X")</f>
        <v>0</v>
      </c>
      <c r="R8" s="252">
        <f>SUMIFS($G$3:$G$47,$L$3:$L$47,4,$F$3:$F$47,"X")</f>
        <v>0</v>
      </c>
      <c r="S8" s="252">
        <f>SUMIFS($G$3:$G$47,$L$3:$L$47,5,$F$3:$F$47,"X")</f>
        <v>0</v>
      </c>
      <c r="T8" s="252">
        <f>SUMIFS($G$3:$G$47,$L$3:$L$47,6,$F$3:$F$47,"X")</f>
        <v>0</v>
      </c>
      <c r="U8" s="252">
        <f>SUMIFS($G$3:$G$47,$L$3:$L$47,7,$F$3:$F$47,"X")</f>
        <v>0</v>
      </c>
      <c r="V8" s="252">
        <f>SUMIFS($G$3:$G$47,$L$3:$L$47,8,$F$3:$F$47,"X")</f>
        <v>0</v>
      </c>
      <c r="W8" s="252">
        <f>SUMIFS($G$3:$G$47,$L$3:$L$47,9,$F$3:$F$47,"X")</f>
        <v>0</v>
      </c>
      <c r="X8" s="252">
        <f>SUMIFS($G$3:$G$47,$L$3:$L$47,10,$F$3:$F$47,"X")</f>
        <v>0</v>
      </c>
      <c r="Y8" s="252">
        <f>SUMIFS($G$3:$G$47,$L$3:$L$47,11,$F$3:$F$47,"X")</f>
        <v>0</v>
      </c>
      <c r="Z8" s="252">
        <f>SUMIFS($G$3:$G$47,$L$3:$L$47,12,$F$3:$F$47,"X")</f>
        <v>0</v>
      </c>
      <c r="AA8" s="255">
        <f t="shared" si="4"/>
        <v>0</v>
      </c>
      <c r="AB8" s="256" t="s">
        <v>192</v>
      </c>
    </row>
    <row r="9" spans="1:28" ht="13.35" customHeight="1">
      <c r="A9" s="50" t="s">
        <v>5</v>
      </c>
      <c r="B9" s="234" t="str">
        <f>+U!$Q$37</f>
        <v>!</v>
      </c>
      <c r="C9" s="84" t="s">
        <v>223</v>
      </c>
      <c r="D9" s="283">
        <f>+U!$Q$28</f>
        <v>0</v>
      </c>
      <c r="E9" s="236" t="s">
        <v>247</v>
      </c>
      <c r="F9" s="1115"/>
      <c r="G9" s="1119"/>
      <c r="H9" s="228"/>
      <c r="I9" s="229"/>
      <c r="J9" s="281" t="str">
        <f t="shared" si="2"/>
        <v/>
      </c>
      <c r="K9" s="200">
        <v>6</v>
      </c>
      <c r="L9" s="133">
        <f t="shared" si="3"/>
        <v>0</v>
      </c>
      <c r="M9" s="135" t="s">
        <v>5</v>
      </c>
      <c r="N9" s="191">
        <f>IF(OR(AND(AA14&lt;&gt;0,B48="x"),(O14+AA13)&lt;&gt;H48),1,0)</f>
        <v>0</v>
      </c>
      <c r="O9" s="257">
        <f>SUM(O5:O8)</f>
        <v>0</v>
      </c>
      <c r="P9" s="257">
        <f t="shared" ref="P9:Z9" si="5">SUM(P5:P8)</f>
        <v>0</v>
      </c>
      <c r="Q9" s="257">
        <f t="shared" si="5"/>
        <v>0</v>
      </c>
      <c r="R9" s="257">
        <f t="shared" si="5"/>
        <v>0</v>
      </c>
      <c r="S9" s="257">
        <f t="shared" si="5"/>
        <v>0</v>
      </c>
      <c r="T9" s="257">
        <f t="shared" si="5"/>
        <v>0</v>
      </c>
      <c r="U9" s="257">
        <f t="shared" si="5"/>
        <v>0</v>
      </c>
      <c r="V9" s="257">
        <f t="shared" si="5"/>
        <v>0</v>
      </c>
      <c r="W9" s="257">
        <f t="shared" si="5"/>
        <v>0</v>
      </c>
      <c r="X9" s="257">
        <f t="shared" si="5"/>
        <v>0</v>
      </c>
      <c r="Y9" s="257">
        <f t="shared" si="5"/>
        <v>0</v>
      </c>
      <c r="Z9" s="257">
        <f t="shared" si="5"/>
        <v>0</v>
      </c>
      <c r="AA9" s="1211" t="s">
        <v>197</v>
      </c>
      <c r="AB9" s="1212"/>
    </row>
    <row r="10" spans="1:28" ht="13.35" customHeight="1">
      <c r="A10" s="50" t="s">
        <v>5</v>
      </c>
      <c r="B10" s="234" t="str">
        <f>+U!$R$37</f>
        <v>!</v>
      </c>
      <c r="C10" s="84" t="s">
        <v>224</v>
      </c>
      <c r="D10" s="283">
        <f>+U!$R$28</f>
        <v>0</v>
      </c>
      <c r="E10" s="236" t="s">
        <v>248</v>
      </c>
      <c r="F10" s="1115"/>
      <c r="G10" s="1119"/>
      <c r="H10" s="228"/>
      <c r="I10" s="229"/>
      <c r="J10" s="281" t="str">
        <f t="shared" si="2"/>
        <v/>
      </c>
      <c r="K10" s="200">
        <v>7</v>
      </c>
      <c r="L10" s="133">
        <f t="shared" si="3"/>
        <v>0</v>
      </c>
      <c r="M10" s="135" t="s">
        <v>5</v>
      </c>
      <c r="N10" s="259">
        <f>IF(O10+AA10&lt;&gt;G48,1,0)</f>
        <v>0</v>
      </c>
      <c r="O10" s="1272">
        <f>SUM(O5:Z8)</f>
        <v>0</v>
      </c>
      <c r="P10" s="1273"/>
      <c r="Q10" s="1273"/>
      <c r="R10" s="1273"/>
      <c r="S10" s="1273"/>
      <c r="T10" s="1273"/>
      <c r="U10" s="1273"/>
      <c r="V10" s="1273"/>
      <c r="W10" s="1273"/>
      <c r="X10" s="1273"/>
      <c r="Y10" s="1273"/>
      <c r="Z10" s="1274"/>
      <c r="AA10" s="292">
        <f>+G48-AA7-AA6-AA5-AA8</f>
        <v>0</v>
      </c>
      <c r="AB10" s="293" t="s">
        <v>205</v>
      </c>
    </row>
    <row r="11" spans="1:28" ht="13.35" customHeight="1">
      <c r="A11" s="50" t="s">
        <v>5</v>
      </c>
      <c r="B11" s="234" t="str">
        <f>+U!$S$37</f>
        <v>!</v>
      </c>
      <c r="C11" s="84" t="s">
        <v>225</v>
      </c>
      <c r="D11" s="283">
        <f>+U!$S$28</f>
        <v>0</v>
      </c>
      <c r="E11" s="236" t="s">
        <v>249</v>
      </c>
      <c r="F11" s="1115"/>
      <c r="G11" s="1119"/>
      <c r="H11" s="228"/>
      <c r="I11" s="229"/>
      <c r="J11" s="281" t="str">
        <f t="shared" si="2"/>
        <v/>
      </c>
      <c r="K11" s="200">
        <v>8</v>
      </c>
      <c r="L11" s="133">
        <f t="shared" si="3"/>
        <v>0</v>
      </c>
      <c r="M11" s="135" t="s">
        <v>5</v>
      </c>
      <c r="O11" s="1248" t="str">
        <f>IF(N4&gt;0,"Fehler!","")</f>
        <v/>
      </c>
      <c r="P11" s="1248"/>
      <c r="Q11" s="1248"/>
      <c r="R11" s="1248"/>
      <c r="S11" s="1248"/>
      <c r="T11" s="1248"/>
      <c r="U11" s="1248"/>
      <c r="V11" s="1248"/>
      <c r="W11" s="1248"/>
      <c r="X11" s="1248"/>
      <c r="Y11" s="1248"/>
      <c r="Z11" s="1248"/>
    </row>
    <row r="12" spans="1:28" ht="13.35" customHeight="1">
      <c r="A12" s="50" t="s">
        <v>5</v>
      </c>
      <c r="B12" s="234" t="str">
        <f>+U!$T$37</f>
        <v>!</v>
      </c>
      <c r="C12" s="84" t="s">
        <v>226</v>
      </c>
      <c r="D12" s="283">
        <f>+U!$T$28</f>
        <v>0</v>
      </c>
      <c r="E12" s="236" t="s">
        <v>250</v>
      </c>
      <c r="F12" s="1115"/>
      <c r="G12" s="1119"/>
      <c r="H12" s="228"/>
      <c r="I12" s="229"/>
      <c r="J12" s="281" t="str">
        <f t="shared" si="2"/>
        <v/>
      </c>
      <c r="K12" s="200">
        <v>9</v>
      </c>
      <c r="L12" s="133">
        <f t="shared" si="3"/>
        <v>0</v>
      </c>
      <c r="M12" s="135" t="s">
        <v>5</v>
      </c>
      <c r="AA12" s="38">
        <f>IF(O14+AA13&lt;&gt;H48,1,0)</f>
        <v>0</v>
      </c>
    </row>
    <row r="13" spans="1:28" ht="13.35" customHeight="1">
      <c r="A13" s="50" t="s">
        <v>5</v>
      </c>
      <c r="B13" s="234" t="str">
        <f>+U!$U$37</f>
        <v>!</v>
      </c>
      <c r="C13" s="84" t="s">
        <v>227</v>
      </c>
      <c r="D13" s="283">
        <f>+U!$U$28</f>
        <v>0</v>
      </c>
      <c r="E13" s="236" t="s">
        <v>251</v>
      </c>
      <c r="F13" s="1115"/>
      <c r="G13" s="1119"/>
      <c r="H13" s="228"/>
      <c r="I13" s="229"/>
      <c r="J13" s="281" t="str">
        <f t="shared" si="2"/>
        <v/>
      </c>
      <c r="K13" s="200">
        <v>10</v>
      </c>
      <c r="L13" s="133">
        <f t="shared" si="3"/>
        <v>0</v>
      </c>
      <c r="M13" s="135" t="s">
        <v>5</v>
      </c>
    </row>
    <row r="14" spans="1:28" ht="13.35" customHeight="1">
      <c r="A14" s="50" t="s">
        <v>5</v>
      </c>
      <c r="B14" s="234" t="str">
        <f>+U!$V$37</f>
        <v>!</v>
      </c>
      <c r="C14" s="84" t="s">
        <v>228</v>
      </c>
      <c r="D14" s="283">
        <f>+U!$V$28</f>
        <v>0</v>
      </c>
      <c r="E14" s="236" t="s">
        <v>252</v>
      </c>
      <c r="F14" s="1115"/>
      <c r="G14" s="1119"/>
      <c r="H14" s="228"/>
      <c r="I14" s="229"/>
      <c r="J14" s="281" t="str">
        <f t="shared" si="2"/>
        <v/>
      </c>
      <c r="K14" s="200">
        <v>11</v>
      </c>
      <c r="L14" s="133">
        <f t="shared" si="3"/>
        <v>0</v>
      </c>
      <c r="M14" s="135" t="s">
        <v>5</v>
      </c>
    </row>
    <row r="15" spans="1:28" ht="13.35" customHeight="1">
      <c r="A15" s="50" t="s">
        <v>5</v>
      </c>
      <c r="B15" s="234" t="str">
        <f>+U!$W$37</f>
        <v>!</v>
      </c>
      <c r="C15" s="261" t="s">
        <v>229</v>
      </c>
      <c r="D15" s="283">
        <f>+U!$W$28</f>
        <v>0</v>
      </c>
      <c r="E15" s="236" t="s">
        <v>253</v>
      </c>
      <c r="F15" s="1115"/>
      <c r="G15" s="1119"/>
      <c r="H15" s="228"/>
      <c r="I15" s="229"/>
      <c r="J15" s="281" t="str">
        <f t="shared" si="2"/>
        <v/>
      </c>
      <c r="K15" s="200">
        <v>12</v>
      </c>
      <c r="L15" s="133">
        <f t="shared" si="3"/>
        <v>0</v>
      </c>
      <c r="M15" s="135" t="s">
        <v>5</v>
      </c>
    </row>
    <row r="16" spans="1:28" ht="13.35" customHeight="1">
      <c r="A16" s="50" t="s">
        <v>5</v>
      </c>
      <c r="B16" s="284"/>
      <c r="C16" s="1267"/>
      <c r="D16" s="1268"/>
      <c r="E16" s="1268"/>
      <c r="F16" s="1275"/>
      <c r="G16" s="1124"/>
      <c r="H16" s="1270">
        <f>SUM(G4:G15)</f>
        <v>0</v>
      </c>
      <c r="I16" s="1271">
        <f>SUM(G4:G15)</f>
        <v>0</v>
      </c>
      <c r="J16" s="365"/>
      <c r="K16" s="200">
        <v>13</v>
      </c>
      <c r="L16" s="133">
        <f t="shared" si="3"/>
        <v>0</v>
      </c>
      <c r="M16" s="135" t="s">
        <v>5</v>
      </c>
    </row>
    <row r="17" spans="1:13" ht="13.35" customHeight="1">
      <c r="A17" s="50" t="s">
        <v>5</v>
      </c>
      <c r="B17" s="879"/>
      <c r="C17" s="883" t="s">
        <v>447</v>
      </c>
      <c r="D17" s="880"/>
      <c r="E17" s="881"/>
      <c r="F17" s="1116"/>
      <c r="G17" s="1120">
        <f>IF(EÜR!I69&gt;0,+EÜR!I69,0)</f>
        <v>0</v>
      </c>
      <c r="H17" s="228"/>
      <c r="I17" s="229"/>
      <c r="J17" s="281">
        <f>+G17</f>
        <v>0</v>
      </c>
      <c r="K17" s="200">
        <v>14</v>
      </c>
      <c r="L17" s="133">
        <f t="shared" si="3"/>
        <v>0</v>
      </c>
      <c r="M17" s="135" t="s">
        <v>5</v>
      </c>
    </row>
    <row r="18" spans="1:13" ht="13.35" customHeight="1">
      <c r="A18" s="50" t="s">
        <v>5</v>
      </c>
      <c r="B18" s="141"/>
      <c r="C18" s="80"/>
      <c r="D18" s="93"/>
      <c r="E18" s="226"/>
      <c r="F18" s="1115"/>
      <c r="G18" s="1121"/>
      <c r="H18" s="228"/>
      <c r="I18" s="229"/>
      <c r="J18" s="281" t="str">
        <f t="shared" si="2"/>
        <v/>
      </c>
      <c r="K18" s="200">
        <v>15</v>
      </c>
      <c r="L18" s="133">
        <f t="shared" si="3"/>
        <v>0</v>
      </c>
      <c r="M18" s="135" t="s">
        <v>5</v>
      </c>
    </row>
    <row r="19" spans="1:13" ht="13.35" customHeight="1">
      <c r="A19" s="50" t="s">
        <v>5</v>
      </c>
      <c r="B19" s="141"/>
      <c r="C19" s="80"/>
      <c r="D19" s="93"/>
      <c r="E19" s="226"/>
      <c r="F19" s="1115"/>
      <c r="G19" s="1121"/>
      <c r="H19" s="228"/>
      <c r="I19" s="229"/>
      <c r="J19" s="281" t="str">
        <f t="shared" si="2"/>
        <v/>
      </c>
      <c r="K19" s="200">
        <v>16</v>
      </c>
      <c r="L19" s="133">
        <f t="shared" si="3"/>
        <v>0</v>
      </c>
      <c r="M19" s="135" t="s">
        <v>5</v>
      </c>
    </row>
    <row r="20" spans="1:13" ht="13.35" customHeight="1">
      <c r="A20" s="50" t="s">
        <v>5</v>
      </c>
      <c r="B20" s="141"/>
      <c r="C20" s="80"/>
      <c r="D20" s="93"/>
      <c r="E20" s="226"/>
      <c r="F20" s="1115"/>
      <c r="G20" s="1121"/>
      <c r="H20" s="228"/>
      <c r="I20" s="229"/>
      <c r="J20" s="281" t="str">
        <f t="shared" si="2"/>
        <v/>
      </c>
      <c r="K20" s="200">
        <v>17</v>
      </c>
      <c r="L20" s="133">
        <f t="shared" si="3"/>
        <v>0</v>
      </c>
      <c r="M20" s="135" t="s">
        <v>5</v>
      </c>
    </row>
    <row r="21" spans="1:13" ht="13.35" customHeight="1">
      <c r="A21" s="50" t="s">
        <v>5</v>
      </c>
      <c r="B21" s="141"/>
      <c r="C21" s="80"/>
      <c r="D21" s="93"/>
      <c r="E21" s="226"/>
      <c r="F21" s="1115"/>
      <c r="G21" s="1121"/>
      <c r="H21" s="228"/>
      <c r="I21" s="229"/>
      <c r="J21" s="281" t="str">
        <f t="shared" si="2"/>
        <v/>
      </c>
      <c r="K21" s="200">
        <v>18</v>
      </c>
      <c r="L21" s="133">
        <f t="shared" si="3"/>
        <v>0</v>
      </c>
      <c r="M21" s="135" t="s">
        <v>5</v>
      </c>
    </row>
    <row r="22" spans="1:13" ht="13.35" customHeight="1">
      <c r="A22" s="50" t="s">
        <v>5</v>
      </c>
      <c r="B22" s="141"/>
      <c r="C22" s="80"/>
      <c r="D22" s="93"/>
      <c r="E22" s="226"/>
      <c r="F22" s="1115"/>
      <c r="G22" s="1121"/>
      <c r="H22" s="228"/>
      <c r="I22" s="229"/>
      <c r="J22" s="281" t="str">
        <f t="shared" si="2"/>
        <v/>
      </c>
      <c r="K22" s="200">
        <v>19</v>
      </c>
      <c r="L22" s="133">
        <f t="shared" si="3"/>
        <v>0</v>
      </c>
      <c r="M22" s="135" t="s">
        <v>5</v>
      </c>
    </row>
    <row r="23" spans="1:13" ht="13.35" customHeight="1">
      <c r="A23" s="50" t="s">
        <v>5</v>
      </c>
      <c r="B23" s="141"/>
      <c r="C23" s="80"/>
      <c r="D23" s="94"/>
      <c r="E23" s="226"/>
      <c r="F23" s="1115"/>
      <c r="G23" s="1121"/>
      <c r="H23" s="228"/>
      <c r="I23" s="229"/>
      <c r="J23" s="281" t="str">
        <f t="shared" si="2"/>
        <v/>
      </c>
      <c r="K23" s="200">
        <v>20</v>
      </c>
      <c r="L23" s="133">
        <f t="shared" si="3"/>
        <v>0</v>
      </c>
      <c r="M23" s="135" t="s">
        <v>5</v>
      </c>
    </row>
    <row r="24" spans="1:13" ht="13.35" customHeight="1">
      <c r="A24" s="50" t="s">
        <v>5</v>
      </c>
      <c r="B24" s="141"/>
      <c r="C24" s="80"/>
      <c r="D24" s="93"/>
      <c r="E24" s="226"/>
      <c r="F24" s="1115"/>
      <c r="G24" s="1121"/>
      <c r="H24" s="228"/>
      <c r="I24" s="229"/>
      <c r="J24" s="281" t="str">
        <f t="shared" si="2"/>
        <v/>
      </c>
      <c r="K24" s="200">
        <v>21</v>
      </c>
      <c r="L24" s="133">
        <f t="shared" si="3"/>
        <v>0</v>
      </c>
      <c r="M24" s="135" t="s">
        <v>5</v>
      </c>
    </row>
    <row r="25" spans="1:13" ht="13.35" customHeight="1">
      <c r="A25" s="50" t="s">
        <v>5</v>
      </c>
      <c r="B25" s="141"/>
      <c r="C25" s="80"/>
      <c r="D25" s="93"/>
      <c r="E25" s="226"/>
      <c r="F25" s="1115"/>
      <c r="G25" s="1121"/>
      <c r="H25" s="228"/>
      <c r="I25" s="229"/>
      <c r="J25" s="281" t="str">
        <f t="shared" si="2"/>
        <v/>
      </c>
      <c r="K25" s="200">
        <v>22</v>
      </c>
      <c r="L25" s="133">
        <f t="shared" si="3"/>
        <v>0</v>
      </c>
      <c r="M25" s="135" t="s">
        <v>5</v>
      </c>
    </row>
    <row r="26" spans="1:13" ht="13.35" customHeight="1">
      <c r="A26" s="50" t="s">
        <v>5</v>
      </c>
      <c r="B26" s="141"/>
      <c r="C26" s="80"/>
      <c r="D26" s="93"/>
      <c r="E26" s="226"/>
      <c r="F26" s="1115"/>
      <c r="G26" s="1121"/>
      <c r="H26" s="228"/>
      <c r="I26" s="229"/>
      <c r="J26" s="281" t="str">
        <f t="shared" si="2"/>
        <v/>
      </c>
      <c r="K26" s="200">
        <v>23</v>
      </c>
      <c r="L26" s="133">
        <f t="shared" si="3"/>
        <v>0</v>
      </c>
      <c r="M26" s="135" t="s">
        <v>5</v>
      </c>
    </row>
    <row r="27" spans="1:13" ht="13.35" customHeight="1">
      <c r="A27" s="50" t="s">
        <v>5</v>
      </c>
      <c r="B27" s="141"/>
      <c r="C27" s="80"/>
      <c r="D27" s="93"/>
      <c r="E27" s="226"/>
      <c r="F27" s="1115"/>
      <c r="G27" s="1121"/>
      <c r="H27" s="228"/>
      <c r="I27" s="229"/>
      <c r="J27" s="281" t="str">
        <f t="shared" si="2"/>
        <v/>
      </c>
      <c r="K27" s="200">
        <v>24</v>
      </c>
      <c r="L27" s="133">
        <f t="shared" si="3"/>
        <v>0</v>
      </c>
      <c r="M27" s="135" t="s">
        <v>5</v>
      </c>
    </row>
    <row r="28" spans="1:13" ht="13.35" customHeight="1">
      <c r="A28" s="50" t="s">
        <v>5</v>
      </c>
      <c r="B28" s="141"/>
      <c r="C28" s="80"/>
      <c r="D28" s="93"/>
      <c r="E28" s="226"/>
      <c r="F28" s="1115"/>
      <c r="G28" s="1121"/>
      <c r="H28" s="228"/>
      <c r="I28" s="229"/>
      <c r="J28" s="281" t="str">
        <f t="shared" si="2"/>
        <v/>
      </c>
      <c r="K28" s="200">
        <v>25</v>
      </c>
      <c r="L28" s="133">
        <f t="shared" si="3"/>
        <v>0</v>
      </c>
      <c r="M28" s="135" t="s">
        <v>5</v>
      </c>
    </row>
    <row r="29" spans="1:13" ht="13.35" customHeight="1">
      <c r="A29" s="50" t="s">
        <v>5</v>
      </c>
      <c r="B29" s="141"/>
      <c r="C29" s="80"/>
      <c r="D29" s="93"/>
      <c r="E29" s="226"/>
      <c r="F29" s="1115"/>
      <c r="G29" s="1121"/>
      <c r="H29" s="228"/>
      <c r="I29" s="229"/>
      <c r="J29" s="281" t="str">
        <f t="shared" si="2"/>
        <v/>
      </c>
      <c r="K29" s="200">
        <v>26</v>
      </c>
      <c r="L29" s="133">
        <f t="shared" si="3"/>
        <v>0</v>
      </c>
      <c r="M29" s="135" t="s">
        <v>5</v>
      </c>
    </row>
    <row r="30" spans="1:13" ht="13.35" customHeight="1">
      <c r="A30" s="50" t="s">
        <v>5</v>
      </c>
      <c r="B30" s="141"/>
      <c r="C30" s="80"/>
      <c r="D30" s="93"/>
      <c r="E30" s="226"/>
      <c r="F30" s="1115"/>
      <c r="G30" s="1121"/>
      <c r="H30" s="228"/>
      <c r="I30" s="229"/>
      <c r="J30" s="281" t="str">
        <f t="shared" si="2"/>
        <v/>
      </c>
      <c r="K30" s="200">
        <v>27</v>
      </c>
      <c r="L30" s="133">
        <f t="shared" si="3"/>
        <v>0</v>
      </c>
      <c r="M30" s="135" t="s">
        <v>5</v>
      </c>
    </row>
    <row r="31" spans="1:13" ht="13.35" customHeight="1">
      <c r="A31" s="50" t="s">
        <v>5</v>
      </c>
      <c r="B31" s="141"/>
      <c r="C31" s="80"/>
      <c r="D31" s="93"/>
      <c r="E31" s="226"/>
      <c r="F31" s="1115"/>
      <c r="G31" s="1121"/>
      <c r="H31" s="228"/>
      <c r="I31" s="229"/>
      <c r="J31" s="281" t="str">
        <f t="shared" si="2"/>
        <v/>
      </c>
      <c r="K31" s="200">
        <v>28</v>
      </c>
      <c r="L31" s="133">
        <f t="shared" si="3"/>
        <v>0</v>
      </c>
      <c r="M31" s="135" t="s">
        <v>5</v>
      </c>
    </row>
    <row r="32" spans="1:13" ht="13.35" customHeight="1">
      <c r="A32" s="50" t="s">
        <v>5</v>
      </c>
      <c r="B32" s="141"/>
      <c r="C32" s="80"/>
      <c r="D32" s="93"/>
      <c r="E32" s="226"/>
      <c r="F32" s="1115"/>
      <c r="G32" s="1121"/>
      <c r="H32" s="228"/>
      <c r="I32" s="229"/>
      <c r="J32" s="281" t="str">
        <f t="shared" si="2"/>
        <v/>
      </c>
      <c r="K32" s="200">
        <v>29</v>
      </c>
      <c r="L32" s="133">
        <f t="shared" si="3"/>
        <v>0</v>
      </c>
      <c r="M32" s="135" t="s">
        <v>5</v>
      </c>
    </row>
    <row r="33" spans="1:13" ht="13.35" customHeight="1">
      <c r="A33" s="50" t="s">
        <v>5</v>
      </c>
      <c r="B33" s="141"/>
      <c r="C33" s="80"/>
      <c r="D33" s="93"/>
      <c r="E33" s="226"/>
      <c r="F33" s="1115"/>
      <c r="G33" s="1121"/>
      <c r="H33" s="228"/>
      <c r="I33" s="229"/>
      <c r="J33" s="281" t="str">
        <f t="shared" si="2"/>
        <v/>
      </c>
      <c r="K33" s="200">
        <v>30</v>
      </c>
      <c r="L33" s="133">
        <f t="shared" si="3"/>
        <v>0</v>
      </c>
      <c r="M33" s="135" t="s">
        <v>5</v>
      </c>
    </row>
    <row r="34" spans="1:13" ht="13.35" customHeight="1">
      <c r="A34" s="50" t="s">
        <v>5</v>
      </c>
      <c r="B34" s="141"/>
      <c r="C34" s="80"/>
      <c r="D34" s="93"/>
      <c r="E34" s="226"/>
      <c r="F34" s="1115"/>
      <c r="G34" s="1121"/>
      <c r="H34" s="228"/>
      <c r="I34" s="229"/>
      <c r="J34" s="281" t="str">
        <f t="shared" si="2"/>
        <v/>
      </c>
      <c r="K34" s="200">
        <v>31</v>
      </c>
      <c r="L34" s="133">
        <f t="shared" si="3"/>
        <v>0</v>
      </c>
      <c r="M34" s="135" t="s">
        <v>5</v>
      </c>
    </row>
    <row r="35" spans="1:13" ht="13.35" customHeight="1">
      <c r="A35" s="50" t="s">
        <v>5</v>
      </c>
      <c r="B35" s="141"/>
      <c r="C35" s="80"/>
      <c r="D35" s="93"/>
      <c r="E35" s="226"/>
      <c r="F35" s="1115"/>
      <c r="G35" s="1121"/>
      <c r="H35" s="228"/>
      <c r="I35" s="229"/>
      <c r="J35" s="281" t="str">
        <f t="shared" si="2"/>
        <v/>
      </c>
      <c r="K35" s="200">
        <v>32</v>
      </c>
      <c r="L35" s="133">
        <f t="shared" si="3"/>
        <v>0</v>
      </c>
      <c r="M35" s="135" t="s">
        <v>5</v>
      </c>
    </row>
    <row r="36" spans="1:13" ht="13.35" customHeight="1">
      <c r="A36" s="50" t="s">
        <v>5</v>
      </c>
      <c r="B36" s="141"/>
      <c r="C36" s="80"/>
      <c r="D36" s="93"/>
      <c r="E36" s="226"/>
      <c r="F36" s="1115"/>
      <c r="G36" s="1121"/>
      <c r="H36" s="228"/>
      <c r="I36" s="229"/>
      <c r="J36" s="281" t="str">
        <f t="shared" si="2"/>
        <v/>
      </c>
      <c r="K36" s="200">
        <v>33</v>
      </c>
      <c r="L36" s="133">
        <f t="shared" si="3"/>
        <v>0</v>
      </c>
      <c r="M36" s="135" t="s">
        <v>5</v>
      </c>
    </row>
    <row r="37" spans="1:13" ht="13.35" customHeight="1">
      <c r="A37" s="50" t="s">
        <v>5</v>
      </c>
      <c r="B37" s="141"/>
      <c r="C37" s="80"/>
      <c r="D37" s="93"/>
      <c r="E37" s="226"/>
      <c r="F37" s="1115"/>
      <c r="G37" s="1121"/>
      <c r="H37" s="228"/>
      <c r="I37" s="229"/>
      <c r="J37" s="281" t="str">
        <f t="shared" si="2"/>
        <v/>
      </c>
      <c r="K37" s="200">
        <v>34</v>
      </c>
      <c r="L37" s="133">
        <f t="shared" si="3"/>
        <v>0</v>
      </c>
      <c r="M37" s="135" t="s">
        <v>5</v>
      </c>
    </row>
    <row r="38" spans="1:13" ht="13.35" customHeight="1">
      <c r="A38" s="50" t="s">
        <v>5</v>
      </c>
      <c r="B38" s="141"/>
      <c r="C38" s="80"/>
      <c r="D38" s="93"/>
      <c r="E38" s="226"/>
      <c r="F38" s="1115"/>
      <c r="G38" s="1121"/>
      <c r="H38" s="228"/>
      <c r="I38" s="229"/>
      <c r="J38" s="281" t="str">
        <f t="shared" si="2"/>
        <v/>
      </c>
      <c r="K38" s="200">
        <v>35</v>
      </c>
      <c r="L38" s="133">
        <f t="shared" si="3"/>
        <v>0</v>
      </c>
      <c r="M38" s="135" t="s">
        <v>5</v>
      </c>
    </row>
    <row r="39" spans="1:13" ht="13.35" customHeight="1">
      <c r="A39" s="50" t="s">
        <v>5</v>
      </c>
      <c r="B39" s="141"/>
      <c r="C39" s="80"/>
      <c r="D39" s="93"/>
      <c r="E39" s="226"/>
      <c r="F39" s="1115"/>
      <c r="G39" s="1121"/>
      <c r="H39" s="228"/>
      <c r="I39" s="229"/>
      <c r="J39" s="281" t="str">
        <f t="shared" si="2"/>
        <v/>
      </c>
      <c r="K39" s="200">
        <v>36</v>
      </c>
      <c r="L39" s="133">
        <f t="shared" si="3"/>
        <v>0</v>
      </c>
      <c r="M39" s="135" t="s">
        <v>5</v>
      </c>
    </row>
    <row r="40" spans="1:13" ht="13.35" customHeight="1">
      <c r="A40" s="50" t="s">
        <v>5</v>
      </c>
      <c r="B40" s="141"/>
      <c r="C40" s="80"/>
      <c r="D40" s="93"/>
      <c r="E40" s="226"/>
      <c r="F40" s="1115"/>
      <c r="G40" s="1121"/>
      <c r="H40" s="228"/>
      <c r="I40" s="229"/>
      <c r="J40" s="281" t="str">
        <f t="shared" si="2"/>
        <v/>
      </c>
      <c r="K40" s="200">
        <v>37</v>
      </c>
      <c r="L40" s="133">
        <f t="shared" si="3"/>
        <v>0</v>
      </c>
      <c r="M40" s="135" t="s">
        <v>5</v>
      </c>
    </row>
    <row r="41" spans="1:13" ht="13.35" customHeight="1">
      <c r="A41" s="50" t="s">
        <v>5</v>
      </c>
      <c r="B41" s="141"/>
      <c r="C41" s="80"/>
      <c r="D41" s="93"/>
      <c r="E41" s="226"/>
      <c r="F41" s="1115"/>
      <c r="G41" s="1121"/>
      <c r="H41" s="228"/>
      <c r="I41" s="229"/>
      <c r="J41" s="281" t="str">
        <f t="shared" si="2"/>
        <v/>
      </c>
      <c r="K41" s="200">
        <v>38</v>
      </c>
      <c r="L41" s="133">
        <f t="shared" si="3"/>
        <v>0</v>
      </c>
      <c r="M41" s="135" t="s">
        <v>5</v>
      </c>
    </row>
    <row r="42" spans="1:13" ht="13.35" customHeight="1">
      <c r="A42" s="50" t="s">
        <v>5</v>
      </c>
      <c r="B42" s="141"/>
      <c r="C42" s="80"/>
      <c r="D42" s="93"/>
      <c r="E42" s="226"/>
      <c r="F42" s="1115"/>
      <c r="G42" s="1121"/>
      <c r="H42" s="228"/>
      <c r="I42" s="229"/>
      <c r="J42" s="281" t="str">
        <f t="shared" si="2"/>
        <v/>
      </c>
      <c r="K42" s="200">
        <v>39</v>
      </c>
      <c r="L42" s="133">
        <f t="shared" si="3"/>
        <v>0</v>
      </c>
      <c r="M42" s="135" t="s">
        <v>5</v>
      </c>
    </row>
    <row r="43" spans="1:13" ht="13.35" customHeight="1">
      <c r="A43" s="50" t="s">
        <v>5</v>
      </c>
      <c r="B43" s="141"/>
      <c r="C43" s="80"/>
      <c r="D43" s="93"/>
      <c r="E43" s="226"/>
      <c r="F43" s="1115"/>
      <c r="G43" s="1121"/>
      <c r="H43" s="228"/>
      <c r="I43" s="229"/>
      <c r="J43" s="281" t="str">
        <f t="shared" si="2"/>
        <v/>
      </c>
      <c r="K43" s="200">
        <v>40</v>
      </c>
      <c r="L43" s="133">
        <f t="shared" si="3"/>
        <v>0</v>
      </c>
      <c r="M43" s="135" t="s">
        <v>5</v>
      </c>
    </row>
    <row r="44" spans="1:13" ht="13.35" customHeight="1">
      <c r="A44" s="50" t="s">
        <v>5</v>
      </c>
      <c r="B44" s="141"/>
      <c r="C44" s="80"/>
      <c r="D44" s="93"/>
      <c r="E44" s="226"/>
      <c r="F44" s="1115"/>
      <c r="G44" s="1121"/>
      <c r="H44" s="228"/>
      <c r="I44" s="229"/>
      <c r="J44" s="281" t="str">
        <f t="shared" si="2"/>
        <v/>
      </c>
      <c r="K44" s="200">
        <v>41</v>
      </c>
      <c r="L44" s="133">
        <f t="shared" si="3"/>
        <v>0</v>
      </c>
      <c r="M44" s="135" t="s">
        <v>5</v>
      </c>
    </row>
    <row r="45" spans="1:13" ht="13.35" customHeight="1">
      <c r="A45" s="50" t="s">
        <v>5</v>
      </c>
      <c r="B45" s="242"/>
      <c r="C45" s="181"/>
      <c r="D45" s="182"/>
      <c r="E45" s="285"/>
      <c r="F45" s="1117"/>
      <c r="G45" s="1122"/>
      <c r="H45" s="228"/>
      <c r="I45" s="229"/>
      <c r="J45" s="286" t="str">
        <f t="shared" ref="J45:J46" si="6">IF(G45&lt;&gt;0,+G45-I45,"")</f>
        <v/>
      </c>
      <c r="K45" s="200">
        <v>44</v>
      </c>
      <c r="L45" s="133">
        <f t="shared" ref="L45:L46" si="7">IF(B45&lt;$O$2,0,IF(B45&lt;$P$2,1,IF(B45&lt;$Q$2,2,IF(B45&lt;$R$2,3,IF(B45&lt;$S$2,4,IF(B45&lt;$T$2,5,IF(B45&lt;$U$2,6,IF(B45&lt;$V$2,7,IF(B45&lt;$W$2,8,IF(B45&lt;$X$2,9,IF(B45&lt;$Y$2,10,IF(B45&lt;$Z$2,11,IF(B45&lt;=$Z$3,12,0)))))))))))))</f>
        <v>0</v>
      </c>
      <c r="M45" s="135" t="s">
        <v>5</v>
      </c>
    </row>
    <row r="46" spans="1:13" ht="13.35" customHeight="1" thickBot="1">
      <c r="A46" s="50" t="s">
        <v>5</v>
      </c>
      <c r="B46" s="242"/>
      <c r="C46" s="181"/>
      <c r="D46" s="182"/>
      <c r="E46" s="285"/>
      <c r="F46" s="1117"/>
      <c r="G46" s="1123"/>
      <c r="H46" s="228"/>
      <c r="I46" s="229"/>
      <c r="J46" s="286" t="str">
        <f t="shared" si="6"/>
        <v/>
      </c>
      <c r="K46" s="200">
        <v>45</v>
      </c>
      <c r="L46" s="133">
        <f t="shared" si="7"/>
        <v>0</v>
      </c>
      <c r="M46" s="135" t="s">
        <v>5</v>
      </c>
    </row>
    <row r="47" spans="1:13" ht="12" customHeight="1" thickTop="1" thickBot="1">
      <c r="A47" s="391" t="s">
        <v>283</v>
      </c>
      <c r="B47" s="1244" t="str">
        <f>IF($A$48=0,"^ Zeile einfügen","bis hierher ziehen!")</f>
        <v>^ Zeile einfügen</v>
      </c>
      <c r="C47" s="1244"/>
      <c r="D47" s="392" t="s">
        <v>5</v>
      </c>
      <c r="E47" s="393" t="s">
        <v>5</v>
      </c>
      <c r="F47" s="394" t="s">
        <v>5</v>
      </c>
      <c r="G47" s="394"/>
      <c r="H47" s="395"/>
      <c r="I47" s="396"/>
      <c r="J47" s="425"/>
      <c r="K47" s="201">
        <v>0</v>
      </c>
      <c r="L47" s="185" t="s">
        <v>5</v>
      </c>
      <c r="M47" s="398" t="s">
        <v>283</v>
      </c>
    </row>
    <row r="48" spans="1:13" ht="12" customHeight="1" thickTop="1" thickBot="1">
      <c r="A48" s="390">
        <f>COUNTBLANK(A3:A47)+A49</f>
        <v>0</v>
      </c>
      <c r="B48" s="193" t="str">
        <f>+EÜR!C14</f>
        <v>ü</v>
      </c>
      <c r="C48" s="194" t="s">
        <v>5</v>
      </c>
      <c r="D48" s="194" t="s">
        <v>5</v>
      </c>
      <c r="E48" s="195" t="s">
        <v>5</v>
      </c>
      <c r="F48" s="196" t="s">
        <v>5</v>
      </c>
      <c r="G48" s="197">
        <f>SUBTOTAL(9,G3:G47)</f>
        <v>0</v>
      </c>
      <c r="H48" s="1242"/>
      <c r="I48" s="1243"/>
      <c r="J48" s="1253">
        <f>G48-H48</f>
        <v>0</v>
      </c>
      <c r="K48" s="1254"/>
      <c r="L48" s="1255"/>
      <c r="M48" s="135" t="s">
        <v>5</v>
      </c>
    </row>
    <row r="49" spans="1:14" ht="12" customHeight="1" thickTop="1" thickBot="1">
      <c r="A49" s="390">
        <f>IF(ISERROR(J47),1,0)</f>
        <v>0</v>
      </c>
      <c r="B49" s="192">
        <f>J48-G49-E49-C49</f>
        <v>0</v>
      </c>
      <c r="C49" s="1239">
        <f>SUMIF(F4:F47,"Kreditkarte",G4:G47)</f>
        <v>0</v>
      </c>
      <c r="D49" s="1239"/>
      <c r="E49" s="1240">
        <f>SUMIF(F4:F47,"Konto",G4:G47)</f>
        <v>0</v>
      </c>
      <c r="F49" s="1240"/>
      <c r="G49" s="1241">
        <f>SUMIF(F4:F47,"Geldbeutel",G4:G47)</f>
        <v>0</v>
      </c>
      <c r="H49" s="1241"/>
      <c r="I49" s="1241"/>
      <c r="J49" s="1256"/>
      <c r="K49" s="1257"/>
      <c r="L49" s="1258"/>
      <c r="M49" s="135" t="s">
        <v>5</v>
      </c>
    </row>
    <row r="50" spans="1:14" s="15" customFormat="1" ht="5.25" customHeight="1" thickTop="1">
      <c r="A50" s="36"/>
      <c r="B50" s="2"/>
      <c r="C50" s="3"/>
      <c r="D50" s="3"/>
      <c r="E50" s="1"/>
      <c r="G50" s="16"/>
      <c r="H50" s="16"/>
      <c r="I50" s="17"/>
      <c r="J50" s="18"/>
      <c r="K50" s="18"/>
      <c r="L50" s="31"/>
      <c r="N50" s="148"/>
    </row>
    <row r="51" spans="1:14">
      <c r="A51" s="36"/>
    </row>
  </sheetData>
  <sheetProtection formatCells="0" insertRows="0" deleteRows="0" selectLockedCells="1" sort="0" autoFilter="0"/>
  <mergeCells count="14">
    <mergeCell ref="H16:I16"/>
    <mergeCell ref="AA9:AB9"/>
    <mergeCell ref="O10:Z10"/>
    <mergeCell ref="O11:Z11"/>
    <mergeCell ref="C2:I2"/>
    <mergeCell ref="J2:L2"/>
    <mergeCell ref="AA4:AB4"/>
    <mergeCell ref="C16:F16"/>
    <mergeCell ref="B47:C47"/>
    <mergeCell ref="H48:I48"/>
    <mergeCell ref="J48:L49"/>
    <mergeCell ref="C49:D49"/>
    <mergeCell ref="E49:F49"/>
    <mergeCell ref="G49:I49"/>
  </mergeCells>
  <conditionalFormatting sqref="A4:A46">
    <cfRule type="expression" dxfId="1538" priority="20">
      <formula>ISERROR(J4)</formula>
    </cfRule>
    <cfRule type="cellIs" dxfId="1537" priority="21" operator="equal">
      <formula>""</formula>
    </cfRule>
  </conditionalFormatting>
  <conditionalFormatting sqref="A47:C47">
    <cfRule type="expression" dxfId="1536" priority="5">
      <formula>$A$48&lt;&gt;0</formula>
    </cfRule>
  </conditionalFormatting>
  <conditionalFormatting sqref="B2">
    <cfRule type="expression" dxfId="1535" priority="33" stopIfTrue="1">
      <formula>$B$48="x"</formula>
    </cfRule>
  </conditionalFormatting>
  <conditionalFormatting sqref="B48">
    <cfRule type="cellIs" dxfId="1534" priority="62" operator="equal">
      <formula>"y"</formula>
    </cfRule>
  </conditionalFormatting>
  <conditionalFormatting sqref="B3:J3">
    <cfRule type="expression" dxfId="1533" priority="47">
      <formula>$B$48="x"</formula>
    </cfRule>
  </conditionalFormatting>
  <conditionalFormatting sqref="B3:L3">
    <cfRule type="expression" dxfId="1531" priority="56">
      <formula>$B$48="x"</formula>
    </cfRule>
  </conditionalFormatting>
  <conditionalFormatting sqref="C49:I49">
    <cfRule type="cellIs" dxfId="1530" priority="59" stopIfTrue="1" operator="greaterThanOrEqual">
      <formula>0</formula>
    </cfRule>
    <cfRule type="cellIs" dxfId="1529" priority="61" stopIfTrue="1" operator="lessThan">
      <formula>0</formula>
    </cfRule>
  </conditionalFormatting>
  <conditionalFormatting sqref="D47:J47">
    <cfRule type="expression" dxfId="1528" priority="7">
      <formula>$A$48&lt;&gt;0</formula>
    </cfRule>
  </conditionalFormatting>
  <conditionalFormatting sqref="E4:E15">
    <cfRule type="expression" dxfId="1527" priority="35">
      <formula>F4&lt;&gt;"Konto"</formula>
    </cfRule>
  </conditionalFormatting>
  <conditionalFormatting sqref="F4:F15">
    <cfRule type="expression" dxfId="1526" priority="1">
      <formula>$B$1="x"</formula>
    </cfRule>
  </conditionalFormatting>
  <conditionalFormatting sqref="J17">
    <cfRule type="cellIs" dxfId="1524" priority="17702" operator="equal">
      <formula>0</formula>
    </cfRule>
  </conditionalFormatting>
  <conditionalFormatting sqref="J48:L48 C49:L49 C48:H48">
    <cfRule type="expression" dxfId="1523" priority="58">
      <formula>$B$48="x"</formula>
    </cfRule>
  </conditionalFormatting>
  <conditionalFormatting sqref="J48:L49">
    <cfRule type="expression" dxfId="1522" priority="57">
      <formula>AND($B$48="x",$J$48&lt;&gt;0)</formula>
    </cfRule>
  </conditionalFormatting>
  <conditionalFormatting sqref="K4:L46">
    <cfRule type="expression" dxfId="1521" priority="17704">
      <formula>$B$48="x"</formula>
    </cfRule>
  </conditionalFormatting>
  <conditionalFormatting sqref="M3">
    <cfRule type="cellIs" dxfId="1520" priority="29" operator="equal">
      <formula>""</formula>
    </cfRule>
  </conditionalFormatting>
  <conditionalFormatting sqref="M4:M46">
    <cfRule type="expression" dxfId="1519" priority="27">
      <formula>ISERROR(J4)</formula>
    </cfRule>
    <cfRule type="cellIs" dxfId="1518" priority="28" operator="equal">
      <formula>""</formula>
    </cfRule>
  </conditionalFormatting>
  <conditionalFormatting sqref="M47">
    <cfRule type="expression" dxfId="1517" priority="6">
      <formula>$A$48&lt;&gt;0</formula>
    </cfRule>
  </conditionalFormatting>
  <conditionalFormatting sqref="M47:M49">
    <cfRule type="cellIs" dxfId="1516" priority="9" operator="equal">
      <formula>""</formula>
    </cfRule>
  </conditionalFormatting>
  <conditionalFormatting sqref="O11:Z11">
    <cfRule type="cellIs" dxfId="1515" priority="43" operator="equal">
      <formula>"Fehler!"</formula>
    </cfRule>
  </conditionalFormatting>
  <conditionalFormatting sqref="O4:AA4 N10:AB10">
    <cfRule type="expression" dxfId="1514" priority="32">
      <formula>$N$2=0</formula>
    </cfRule>
  </conditionalFormatting>
  <conditionalFormatting sqref="O2:AB3">
    <cfRule type="expression" dxfId="1512" priority="3">
      <formula>$N$2=0</formula>
    </cfRule>
  </conditionalFormatting>
  <conditionalFormatting sqref="O5:AB8 O9:AA9">
    <cfRule type="expression" dxfId="1511" priority="42">
      <formula>$N$2=0</formula>
    </cfRule>
  </conditionalFormatting>
  <conditionalFormatting sqref="O11:AB49">
    <cfRule type="expression" dxfId="1510" priority="2">
      <formula>$N$2=0</formula>
    </cfRule>
  </conditionalFormatting>
  <dataValidations count="1">
    <dataValidation type="list" allowBlank="1" showInputMessage="1" showErrorMessage="1" sqref="F17:F44 F4:F15" xr:uid="{408EE8BD-B304-40E2-9806-60621AAC6E4C}">
      <formula1>"Konto,Geldbeutel,Kreditkarte,x"</formula1>
    </dataValidation>
  </dataValidations>
  <hyperlinks>
    <hyperlink ref="J2" location="'2022 EÜR'!A1" display="Menü" xr:uid="{D45EADE9-993B-49C0-A93A-8A542BBAA5B2}"/>
    <hyperlink ref="J2:L2" location="EÜR!A1" display="EÜR" xr:uid="{3D399A74-8A5F-43BA-9F08-3C86D791DE7C}"/>
  </hyperlinks>
  <printOptions horizontalCentered="1"/>
  <pageMargins left="0" right="0" top="0" bottom="0.31496062992125984" header="0" footer="0"/>
  <pageSetup paperSize="9" orientation="portrait" r:id="rId1"/>
  <headerFooter>
    <oddFooter>&amp;L&amp;"Arial,Standard"&amp;8Datei: &amp;Z&amp;F/&amp;A&amp;C&amp;"Arial,Standard"&amp;8Seite &amp;P von &amp;N&amp;R&amp;"Arial,Standard"&amp;8Druck: &amp;D&amp;T Uhr</oddFooter>
  </headerFooter>
  <extLst>
    <ext xmlns:x14="http://schemas.microsoft.com/office/spreadsheetml/2009/9/main" uri="{78C0D931-6437-407d-A8EE-F0AAD7539E65}">
      <x14:conditionalFormattings>
        <x14:conditionalFormatting xmlns:xm="http://schemas.microsoft.com/office/excel/2006/main">
          <x14:cfRule type="expression" priority="4" id="{4FD3CE43-A176-424F-AD6E-DF12ABC23D5D}">
            <xm:f>OR($B$48="x",EÜR!$J$66="-")</xm:f>
            <x14:dxf>
              <font>
                <b/>
                <i val="0"/>
                <color theme="0" tint="-0.24994659260841701"/>
              </font>
              <fill>
                <patternFill>
                  <bgColor theme="0" tint="-0.499984740745262"/>
                </patternFill>
              </fill>
            </x14:dxf>
          </x14:cfRule>
          <xm:sqref>B3:J46</xm:sqref>
        </x14:conditionalFormatting>
        <x14:conditionalFormatting xmlns:xm="http://schemas.microsoft.com/office/excel/2006/main">
          <x14:cfRule type="expression" priority="40" id="{394C284F-5E45-4617-A79A-7CCC2B818F83}">
            <xm:f>AND(EÜR!$J$66&lt;&gt;"ü",$H$48&lt;&gt;0)</xm:f>
            <x14:dxf>
              <font>
                <b/>
                <i val="0"/>
                <color rgb="FFFFFF00"/>
              </font>
              <fill>
                <patternFill>
                  <bgColor rgb="FFFF0000"/>
                </patternFill>
              </fill>
            </x14:dxf>
          </x14:cfRule>
          <xm:sqref>H48:I48</xm:sqref>
        </x14:conditionalFormatting>
        <x14:conditionalFormatting xmlns:xm="http://schemas.microsoft.com/office/excel/2006/main">
          <x14:cfRule type="expression" priority="38" id="{2995B4F7-6828-4E1A-AD1B-B103297B0533}">
            <xm:f>EÜR!$J$66="-"</xm:f>
            <x14:dxf>
              <font>
                <b/>
                <i val="0"/>
                <color theme="0"/>
              </font>
              <fill>
                <patternFill>
                  <bgColor theme="0"/>
                </patternFill>
              </fill>
              <border>
                <left/>
                <right/>
                <top/>
                <bottom/>
              </border>
            </x14:dxf>
          </x14:cfRule>
          <xm:sqref>O12:AA14</xm:sqref>
        </x14:conditionalFormatting>
      </x14:conditionalFormatting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DDCAC9-204F-4636-B105-76142D90E8AD}">
  <sheetPr codeName="Tabelle31">
    <tabColor theme="7" tint="0.59999389629810485"/>
    <pageSetUpPr autoPageBreaks="0"/>
  </sheetPr>
  <dimension ref="A1:AB51"/>
  <sheetViews>
    <sheetView showGridLines="0" showRowColHeaders="0" zoomScaleNormal="100" workbookViewId="0">
      <pane ySplit="3" topLeftCell="A4" activePane="bottomLeft" state="frozen"/>
      <selection activeCell="O2" sqref="O2:Z3"/>
      <selection pane="bottomLeft" activeCell="A4" sqref="A4"/>
    </sheetView>
  </sheetViews>
  <sheetFormatPr baseColWidth="10" defaultColWidth="9.77734375" defaultRowHeight="12.75"/>
  <cols>
    <col min="1" max="1" width="0.77734375" style="12" customWidth="1"/>
    <col min="2" max="2" width="7.6640625" style="30" customWidth="1"/>
    <col min="3" max="3" width="21.6640625" style="24" customWidth="1"/>
    <col min="4" max="4" width="7.6640625" style="24" customWidth="1"/>
    <col min="5" max="5" width="6.6640625" style="25" customWidth="1"/>
    <col min="6" max="6" width="9.6640625" style="26" customWidth="1"/>
    <col min="7" max="7" width="9.6640625" style="27" customWidth="1"/>
    <col min="8" max="8" width="2.6640625" style="28" customWidth="1"/>
    <col min="9" max="9" width="6.6640625" style="29" customWidth="1"/>
    <col min="10" max="10" width="9.6640625" style="27" customWidth="1"/>
    <col min="11" max="11" width="2.5546875" style="27" hidden="1" customWidth="1"/>
    <col min="12" max="12" width="1.5546875" style="32" hidden="1" customWidth="1"/>
    <col min="13" max="13" width="0.77734375" style="13" customWidth="1"/>
    <col min="14" max="14" width="1.77734375" style="147" customWidth="1"/>
    <col min="15" max="26" width="8.77734375" style="13" customWidth="1"/>
    <col min="27" max="27" width="10.33203125" style="13" customWidth="1"/>
    <col min="28" max="28" width="8.33203125" style="13" customWidth="1"/>
    <col min="29" max="16384" width="9.77734375" style="13"/>
  </cols>
  <sheetData>
    <row r="1" spans="1:28" s="37" customFormat="1" ht="3" customHeight="1" thickBot="1">
      <c r="A1" s="36"/>
      <c r="B1" s="53" t="str">
        <f>+B48</f>
        <v>ü</v>
      </c>
      <c r="C1" s="54">
        <f>+C49</f>
        <v>0</v>
      </c>
      <c r="D1" s="54"/>
      <c r="E1" s="53">
        <f>+E49</f>
        <v>0</v>
      </c>
      <c r="F1" s="53"/>
      <c r="G1" s="54">
        <f>+G49</f>
        <v>0</v>
      </c>
      <c r="H1" s="53"/>
      <c r="I1" s="338" t="str">
        <f>+EÜR!J66</f>
        <v>-</v>
      </c>
      <c r="J1" s="54">
        <v>0</v>
      </c>
      <c r="K1" s="198"/>
      <c r="L1" s="56"/>
      <c r="N1" s="190"/>
    </row>
    <row r="2" spans="1:28" ht="23.1" customHeight="1" thickTop="1" thickBot="1">
      <c r="A2" s="36"/>
      <c r="B2" s="295" t="str">
        <f>+EÜR!D17</f>
        <v>U08</v>
      </c>
      <c r="C2" s="1262" t="str">
        <f>+EÜR!F17</f>
        <v>gezahlte Vorsteuerbeträge</v>
      </c>
      <c r="D2" s="1263"/>
      <c r="E2" s="1263"/>
      <c r="F2" s="1263"/>
      <c r="G2" s="1263"/>
      <c r="H2" s="1263"/>
      <c r="I2" s="1264"/>
      <c r="J2" s="1227" t="s">
        <v>8</v>
      </c>
      <c r="K2" s="1228"/>
      <c r="L2" s="1229"/>
      <c r="M2" s="134"/>
      <c r="N2" s="190">
        <v>0</v>
      </c>
      <c r="O2" s="188">
        <f>+EOMONTH(EÜR!$I$3,-1)+1</f>
        <v>46023</v>
      </c>
      <c r="P2" s="188">
        <f t="shared" ref="P2:Z2" si="0">+O3+1</f>
        <v>46054</v>
      </c>
      <c r="Q2" s="188">
        <f t="shared" si="0"/>
        <v>46082</v>
      </c>
      <c r="R2" s="188">
        <f t="shared" si="0"/>
        <v>46113</v>
      </c>
      <c r="S2" s="188">
        <f t="shared" si="0"/>
        <v>46143</v>
      </c>
      <c r="T2" s="188">
        <f t="shared" si="0"/>
        <v>46174</v>
      </c>
      <c r="U2" s="188">
        <f t="shared" si="0"/>
        <v>46204</v>
      </c>
      <c r="V2" s="188">
        <f t="shared" si="0"/>
        <v>46235</v>
      </c>
      <c r="W2" s="188">
        <f t="shared" si="0"/>
        <v>46266</v>
      </c>
      <c r="X2" s="188">
        <f t="shared" si="0"/>
        <v>46296</v>
      </c>
      <c r="Y2" s="188">
        <f t="shared" si="0"/>
        <v>46327</v>
      </c>
      <c r="Z2" s="188">
        <f t="shared" si="0"/>
        <v>46357</v>
      </c>
      <c r="AA2" s="48"/>
    </row>
    <row r="3" spans="1:28" ht="14.25" customHeight="1" thickTop="1">
      <c r="A3" s="36" t="s">
        <v>5</v>
      </c>
      <c r="B3" s="58" t="s">
        <v>1</v>
      </c>
      <c r="C3" s="59" t="s">
        <v>6</v>
      </c>
      <c r="D3" s="60"/>
      <c r="E3" s="323"/>
      <c r="F3" s="61" t="s">
        <v>4</v>
      </c>
      <c r="G3" s="62" t="s">
        <v>31</v>
      </c>
      <c r="H3" s="63"/>
      <c r="I3" s="64"/>
      <c r="J3" s="273" t="s">
        <v>213</v>
      </c>
      <c r="K3" s="199">
        <v>0</v>
      </c>
      <c r="L3" s="65" t="s">
        <v>5</v>
      </c>
      <c r="M3" s="135" t="s">
        <v>5</v>
      </c>
      <c r="N3" s="222">
        <f>IF(SUBTOTAL(109,K3:K47)&lt;&gt;SUM(K3:K47),1,0)</f>
        <v>0</v>
      </c>
      <c r="O3" s="189">
        <f>EOMONTH(O2,0)</f>
        <v>46053</v>
      </c>
      <c r="P3" s="189">
        <f t="shared" ref="P3:Z3" si="1">EOMONTH(P2,0)</f>
        <v>46081</v>
      </c>
      <c r="Q3" s="189">
        <f t="shared" si="1"/>
        <v>46112</v>
      </c>
      <c r="R3" s="189">
        <f t="shared" si="1"/>
        <v>46142</v>
      </c>
      <c r="S3" s="189">
        <f t="shared" si="1"/>
        <v>46173</v>
      </c>
      <c r="T3" s="189">
        <f t="shared" si="1"/>
        <v>46203</v>
      </c>
      <c r="U3" s="189">
        <f t="shared" si="1"/>
        <v>46234</v>
      </c>
      <c r="V3" s="189">
        <f t="shared" si="1"/>
        <v>46265</v>
      </c>
      <c r="W3" s="189">
        <f t="shared" si="1"/>
        <v>46295</v>
      </c>
      <c r="X3" s="189">
        <f t="shared" si="1"/>
        <v>46326</v>
      </c>
      <c r="Y3" s="189">
        <f t="shared" si="1"/>
        <v>46356</v>
      </c>
      <c r="Z3" s="189">
        <f t="shared" si="1"/>
        <v>46387</v>
      </c>
      <c r="AB3" s="14"/>
    </row>
    <row r="4" spans="1:28" ht="13.35" customHeight="1">
      <c r="A4" s="50" t="s">
        <v>5</v>
      </c>
      <c r="B4" s="232">
        <f>+EÜR!$I$3</f>
        <v>46023</v>
      </c>
      <c r="C4" s="84" t="s">
        <v>163</v>
      </c>
      <c r="D4" s="235"/>
      <c r="E4" s="277"/>
      <c r="F4" s="278" t="s">
        <v>102</v>
      </c>
      <c r="G4" s="279">
        <f>+'A01'!$H$48</f>
        <v>0</v>
      </c>
      <c r="H4" s="228"/>
      <c r="I4" s="229"/>
      <c r="J4" s="280" t="str">
        <f t="shared" ref="J4:J44" si="2">IF(G4&lt;&gt;0,+G4-I4,"")</f>
        <v/>
      </c>
      <c r="K4" s="200">
        <v>1</v>
      </c>
      <c r="L4" s="133">
        <f>IF(B4&lt;$O$2,0,IF(B4&lt;$P$2,1,IF(B4&lt;$Q$2,2,IF(B4&lt;$R$2,3,IF(B4&lt;$S$2,4,IF(B4&lt;$T$2,5,IF(B4&lt;$U$2,6,IF(B4&lt;$V$2,7,IF(B4&lt;$W$2,8,IF(B4&lt;$X$2,9,IF(B4&lt;$Y$2,10,IF(B4&lt;$Z$2,11,IF(B4&lt;=$Z$3,12,0)))))))))))))</f>
        <v>1</v>
      </c>
      <c r="M4" s="135" t="s">
        <v>5</v>
      </c>
      <c r="N4" s="190">
        <v>0</v>
      </c>
      <c r="O4" s="251" t="s">
        <v>36</v>
      </c>
      <c r="P4" s="251" t="s">
        <v>37</v>
      </c>
      <c r="Q4" s="251" t="s">
        <v>38</v>
      </c>
      <c r="R4" s="251" t="s">
        <v>39</v>
      </c>
      <c r="S4" s="251" t="s">
        <v>40</v>
      </c>
      <c r="T4" s="251" t="s">
        <v>41</v>
      </c>
      <c r="U4" s="251" t="s">
        <v>42</v>
      </c>
      <c r="V4" s="251" t="s">
        <v>43</v>
      </c>
      <c r="W4" s="251" t="s">
        <v>44</v>
      </c>
      <c r="X4" s="251" t="s">
        <v>45</v>
      </c>
      <c r="Y4" s="251" t="s">
        <v>46</v>
      </c>
      <c r="Z4" s="251" t="s">
        <v>47</v>
      </c>
      <c r="AA4" s="1209" t="s">
        <v>255</v>
      </c>
      <c r="AB4" s="1210"/>
    </row>
    <row r="5" spans="1:28" ht="13.35" customHeight="1">
      <c r="A5" s="50" t="s">
        <v>5</v>
      </c>
      <c r="B5" s="232">
        <f>+EÜR!$I$3</f>
        <v>46023</v>
      </c>
      <c r="C5" s="84" t="s">
        <v>50</v>
      </c>
      <c r="D5" s="235"/>
      <c r="E5" s="277"/>
      <c r="F5" s="278" t="s">
        <v>103</v>
      </c>
      <c r="G5" s="279">
        <f>+'A02'!$H$48</f>
        <v>0</v>
      </c>
      <c r="H5" s="228"/>
      <c r="I5" s="229"/>
      <c r="J5" s="280" t="str">
        <f t="shared" si="2"/>
        <v/>
      </c>
      <c r="K5" s="200">
        <v>2</v>
      </c>
      <c r="L5" s="133">
        <f t="shared" ref="L5:L44" si="3">IF(B5&lt;$O$2,0,IF(B5&lt;$P$2,1,IF(B5&lt;$Q$2,2,IF(B5&lt;$R$2,3,IF(B5&lt;$S$2,4,IF(B5&lt;$T$2,5,IF(B5&lt;$U$2,6,IF(B5&lt;$V$2,7,IF(B5&lt;$W$2,8,IF(B5&lt;$X$2,9,IF(B5&lt;$Y$2,10,IF(B5&lt;$Z$2,11,IF(B5&lt;=$Z$3,12,0)))))))))))))</f>
        <v>1</v>
      </c>
      <c r="M5" s="135" t="s">
        <v>5</v>
      </c>
      <c r="O5" s="252">
        <f>SUMIFS($G$3:$G$47,$L$3:$L$47,1,$F$3:$F$47,"Konto")</f>
        <v>0</v>
      </c>
      <c r="P5" s="252">
        <f>SUMIFS($G$3:$G$47,$L$3:$L$47,2,$F$3:$F$47,"Konto")</f>
        <v>0</v>
      </c>
      <c r="Q5" s="252">
        <f>SUMIFS($G$3:$G$47,$L$3:$L$47,3,$F$3:$F$47,"Konto")</f>
        <v>0</v>
      </c>
      <c r="R5" s="252">
        <f>SUMIFS($G$3:$G$47,$L$3:$L$47,4,$F$3:$F$47,"Konto")</f>
        <v>0</v>
      </c>
      <c r="S5" s="252">
        <f>SUMIFS($G$3:$G$47,$L$3:$L$47,5,$F$3:$F$47,"Konto")</f>
        <v>0</v>
      </c>
      <c r="T5" s="252">
        <f>SUMIFS($G$3:$G$47,$L$3:$L$47,6,$F$3:$F$47,"Konto")</f>
        <v>0</v>
      </c>
      <c r="U5" s="252">
        <f>SUMIFS($G$3:$G$47,$L$3:$L$47,7,$F$3:$F$47,"Konto")</f>
        <v>0</v>
      </c>
      <c r="V5" s="252">
        <f>SUMIFS($G$3:$G$47,$L$3:$L$47,8,$F$3:$F$47,"Konto")</f>
        <v>0</v>
      </c>
      <c r="W5" s="252">
        <f>SUMIFS($G$3:$G$47,$L$3:$L$47,9,$F$3:$F$47,"Konto")</f>
        <v>0</v>
      </c>
      <c r="X5" s="252">
        <f>SUMIFS($G$3:$G$47,$L$3:$L$47,10,$F$3:$F$47,"Konto")</f>
        <v>0</v>
      </c>
      <c r="Y5" s="252">
        <f>SUMIFS($G$3:$G$47,$L$3:$L$47,11,$F$3:$F$47,"Konto")</f>
        <v>0</v>
      </c>
      <c r="Z5" s="252">
        <f>SUMIFS($G$3:$G$47,$L$3:$L$47,12,$F$3:$F$47,"Konto")</f>
        <v>0</v>
      </c>
      <c r="AA5" s="253">
        <f>SUM(O5:Z5)</f>
        <v>0</v>
      </c>
      <c r="AB5" s="254" t="s">
        <v>140</v>
      </c>
    </row>
    <row r="6" spans="1:28" ht="13.35" customHeight="1">
      <c r="A6" s="50" t="s">
        <v>5</v>
      </c>
      <c r="B6" s="232">
        <f>+EÜR!$I$3</f>
        <v>46023</v>
      </c>
      <c r="C6" s="84" t="s">
        <v>14</v>
      </c>
      <c r="D6" s="235"/>
      <c r="E6" s="277"/>
      <c r="F6" s="278" t="s">
        <v>104</v>
      </c>
      <c r="G6" s="279">
        <f>+'A03'!$H$48</f>
        <v>0</v>
      </c>
      <c r="H6" s="228"/>
      <c r="I6" s="229"/>
      <c r="J6" s="280" t="str">
        <f t="shared" si="2"/>
        <v/>
      </c>
      <c r="K6" s="200">
        <v>3</v>
      </c>
      <c r="L6" s="133">
        <f t="shared" si="3"/>
        <v>1</v>
      </c>
      <c r="M6" s="135" t="s">
        <v>5</v>
      </c>
      <c r="N6" s="190"/>
      <c r="O6" s="252">
        <f>SUMIFS($G$3:$G$47,$L$3:$L$47,1,$F$3:$F$47,"Kreditkarte")</f>
        <v>0</v>
      </c>
      <c r="P6" s="252">
        <f>SUMIFS($G$3:$G$47,$L$3:$L$47,2,$F$3:$F$47,"Kreditkarte")</f>
        <v>0</v>
      </c>
      <c r="Q6" s="252">
        <f>SUMIFS($G$3:$G$47,$L$3:$L$47,3,$F$3:$F$47,"Kreditkarte")</f>
        <v>0</v>
      </c>
      <c r="R6" s="252">
        <f>SUMIFS($G$3:$G$47,$L$3:$L$47,4,$F$3:$F$47,"Kreditkarte")</f>
        <v>0</v>
      </c>
      <c r="S6" s="252">
        <f>SUMIFS($G$3:$G$47,$L$3:$L$47,5,$F$3:$F$47,"Kreditkarte")</f>
        <v>0</v>
      </c>
      <c r="T6" s="252">
        <f>SUMIFS($G$3:$G$47,$L$3:$L$47,6,$F$3:$F$47,"Kreditkarte")</f>
        <v>0</v>
      </c>
      <c r="U6" s="252">
        <f>SUMIFS($G$3:$G$47,$L$3:$L$47,7,$F$3:$F$47,"Kreditkarte")</f>
        <v>0</v>
      </c>
      <c r="V6" s="252">
        <f>SUMIFS($G$3:$G$47,$L$3:$L$47,8,$F$3:$F$47,"Kreditkarte")</f>
        <v>0</v>
      </c>
      <c r="W6" s="252">
        <f>SUMIFS($G$3:$G$47,$L$3:$L$47,9,$F$3:$F$47,"Kreditkarte")</f>
        <v>0</v>
      </c>
      <c r="X6" s="252">
        <f>SUMIFS($G$3:$G$47,$L$3:$L$47,10,$F$3:$F$47,"Kreditkarte")</f>
        <v>0</v>
      </c>
      <c r="Y6" s="252">
        <f>SUMIFS($G$3:$G$47,$L$3:$L$47,11,$F$3:$F$47,"Kreditkarte")</f>
        <v>0</v>
      </c>
      <c r="Z6" s="252">
        <f>SUMIFS($G$3:$G$47,$L$3:$L$47,12,$F$3:$F$47,"Kreditkarte")</f>
        <v>0</v>
      </c>
      <c r="AA6" s="255">
        <f t="shared" ref="AA6:AA8" si="4">SUM(O6:Z6)</f>
        <v>0</v>
      </c>
      <c r="AB6" s="256" t="s">
        <v>142</v>
      </c>
    </row>
    <row r="7" spans="1:28" ht="13.35" customHeight="1">
      <c r="A7" s="50" t="s">
        <v>5</v>
      </c>
      <c r="B7" s="232">
        <f>+EÜR!$I$3</f>
        <v>46023</v>
      </c>
      <c r="C7" s="84" t="s">
        <v>16</v>
      </c>
      <c r="D7" s="235"/>
      <c r="E7" s="277"/>
      <c r="F7" s="278" t="s">
        <v>206</v>
      </c>
      <c r="G7" s="279">
        <f>+'A04'!$H$48</f>
        <v>0</v>
      </c>
      <c r="H7" s="228"/>
      <c r="I7" s="229"/>
      <c r="J7" s="280" t="str">
        <f t="shared" si="2"/>
        <v/>
      </c>
      <c r="K7" s="200">
        <v>4</v>
      </c>
      <c r="L7" s="133">
        <f t="shared" si="3"/>
        <v>1</v>
      </c>
      <c r="M7" s="135" t="s">
        <v>5</v>
      </c>
      <c r="O7" s="252">
        <f>SUMIFS($G$3:$G$47,$L$3:$L$47,1,$F$3:$F$47,"Geldbeutel")</f>
        <v>0</v>
      </c>
      <c r="P7" s="252">
        <f>SUMIFS($G$3:$G$47,$L$3:$L$47,2,$F$3:$F$47,"Geldbeutel")</f>
        <v>0</v>
      </c>
      <c r="Q7" s="252">
        <f>SUMIFS($G$3:$G$47,$L$3:$L$47,3,$F$3:$F$47,"Geldbeutel")</f>
        <v>0</v>
      </c>
      <c r="R7" s="252">
        <f>SUMIFS($G$3:$G$47,$L$3:$L$47,4,$F$3:$F$47,"Geldbeutel")</f>
        <v>0</v>
      </c>
      <c r="S7" s="252">
        <f>SUMIFS($G$3:$G$47,$L$3:$L$47,5,$F$3:$F$47,"Geldbeutel")</f>
        <v>0</v>
      </c>
      <c r="T7" s="252">
        <f>SUMIFS($G$3:$G$47,$L$3:$L$47,6,$F$3:$F$47,"Geldbeutel")</f>
        <v>0</v>
      </c>
      <c r="U7" s="252">
        <f>SUMIFS($G$3:$G$47,$L$3:$L$47,7,$F$3:$F$47,"Geldbeutel")</f>
        <v>0</v>
      </c>
      <c r="V7" s="252">
        <f>SUMIFS($G$3:$G$47,$L$3:$L$47,8,$F$3:$F$47,"Geldbeutel")</f>
        <v>0</v>
      </c>
      <c r="W7" s="252">
        <f>SUMIFS($G$3:$G$47,$L$3:$L$47,9,$F$3:$F$47,"Geldbeutel")</f>
        <v>0</v>
      </c>
      <c r="X7" s="252">
        <f>SUMIFS($G$3:$G$47,$L$3:$L$47,10,$F$3:$F$47,"Geldbeutel")</f>
        <v>0</v>
      </c>
      <c r="Y7" s="252">
        <f>SUMIFS($G$3:$G$47,$L$3:$L$47,11,$F$3:$F$47,"Geldbeutel")</f>
        <v>0</v>
      </c>
      <c r="Z7" s="252">
        <f>SUMIFS($G$3:$G$47,$L$3:$L$47,12,$F$3:$F$47,"Geldbeutel")</f>
        <v>0</v>
      </c>
      <c r="AA7" s="253">
        <f t="shared" si="4"/>
        <v>0</v>
      </c>
      <c r="AB7" s="254" t="s">
        <v>139</v>
      </c>
    </row>
    <row r="8" spans="1:28" ht="13.35" customHeight="1">
      <c r="A8" s="50" t="s">
        <v>5</v>
      </c>
      <c r="B8" s="232">
        <f>+EÜR!$I$3</f>
        <v>46023</v>
      </c>
      <c r="C8" s="84" t="s">
        <v>17</v>
      </c>
      <c r="D8" s="235"/>
      <c r="E8" s="277"/>
      <c r="F8" s="278" t="s">
        <v>207</v>
      </c>
      <c r="G8" s="279">
        <f>+'A05'!$H$48</f>
        <v>0</v>
      </c>
      <c r="H8" s="228"/>
      <c r="I8" s="229"/>
      <c r="J8" s="280" t="str">
        <f t="shared" si="2"/>
        <v/>
      </c>
      <c r="K8" s="200">
        <v>5</v>
      </c>
      <c r="L8" s="133">
        <f t="shared" si="3"/>
        <v>1</v>
      </c>
      <c r="M8" s="135" t="s">
        <v>5</v>
      </c>
      <c r="O8" s="252">
        <f>SUMIFS($G$3:$G$47,$L$3:$L$47,1,$F$3:$F$47,"X")</f>
        <v>0</v>
      </c>
      <c r="P8" s="252">
        <f>SUMIFS($G$3:$G$47,$L$3:$L$47,2,$F$3:$F$47,"X")</f>
        <v>0</v>
      </c>
      <c r="Q8" s="252">
        <f>SUMIFS($G$3:$G$47,$L$3:$L$47,3,$F$3:$F$47,"X")</f>
        <v>0</v>
      </c>
      <c r="R8" s="252">
        <f>SUMIFS($G$3:$G$47,$L$3:$L$47,4,$F$3:$F$47,"X")</f>
        <v>0</v>
      </c>
      <c r="S8" s="252">
        <f>SUMIFS($G$3:$G$47,$L$3:$L$47,5,$F$3:$F$47,"X")</f>
        <v>0</v>
      </c>
      <c r="T8" s="252">
        <f>SUMIFS($G$3:$G$47,$L$3:$L$47,6,$F$3:$F$47,"X")</f>
        <v>0</v>
      </c>
      <c r="U8" s="252">
        <f>SUMIFS($G$3:$G$47,$L$3:$L$47,7,$F$3:$F$47,"X")</f>
        <v>0</v>
      </c>
      <c r="V8" s="252">
        <f>SUMIFS($G$3:$G$47,$L$3:$L$47,8,$F$3:$F$47,"X")</f>
        <v>0</v>
      </c>
      <c r="W8" s="252">
        <f>SUMIFS($G$3:$G$47,$L$3:$L$47,9,$F$3:$F$47,"X")</f>
        <v>0</v>
      </c>
      <c r="X8" s="252">
        <f>SUMIFS($G$3:$G$47,$L$3:$L$47,10,$F$3:$F$47,"X")</f>
        <v>0</v>
      </c>
      <c r="Y8" s="252">
        <f>SUMIFS($G$3:$G$47,$L$3:$L$47,11,$F$3:$F$47,"X")</f>
        <v>0</v>
      </c>
      <c r="Z8" s="252">
        <f>SUMIFS($G$3:$G$47,$L$3:$L$47,12,$F$3:$F$47,"X")</f>
        <v>0</v>
      </c>
      <c r="AA8" s="255">
        <f t="shared" si="4"/>
        <v>0</v>
      </c>
      <c r="AB8" s="256" t="s">
        <v>192</v>
      </c>
    </row>
    <row r="9" spans="1:28" ht="13.35" customHeight="1">
      <c r="A9" s="50" t="s">
        <v>5</v>
      </c>
      <c r="B9" s="232">
        <f>+EÜR!$I$3</f>
        <v>46023</v>
      </c>
      <c r="C9" s="84" t="s">
        <v>18</v>
      </c>
      <c r="D9" s="235"/>
      <c r="E9" s="277"/>
      <c r="F9" s="278" t="s">
        <v>208</v>
      </c>
      <c r="G9" s="279">
        <f>+'A06'!$H$48</f>
        <v>0</v>
      </c>
      <c r="H9" s="228"/>
      <c r="I9" s="229"/>
      <c r="J9" s="280" t="str">
        <f t="shared" si="2"/>
        <v/>
      </c>
      <c r="K9" s="200">
        <v>6</v>
      </c>
      <c r="L9" s="133">
        <f t="shared" si="3"/>
        <v>1</v>
      </c>
      <c r="M9" s="135" t="s">
        <v>5</v>
      </c>
      <c r="N9" s="191">
        <f>IF(OR(AND(AA14&lt;&gt;0,B48="x"),(O14+AA13)&lt;&gt;H48),1,0)</f>
        <v>0</v>
      </c>
      <c r="O9" s="257">
        <f>SUM(O5:O8)</f>
        <v>0</v>
      </c>
      <c r="P9" s="257">
        <f t="shared" ref="P9:Z9" si="5">SUM(P5:P8)</f>
        <v>0</v>
      </c>
      <c r="Q9" s="257">
        <f t="shared" si="5"/>
        <v>0</v>
      </c>
      <c r="R9" s="257">
        <f t="shared" si="5"/>
        <v>0</v>
      </c>
      <c r="S9" s="257">
        <f t="shared" si="5"/>
        <v>0</v>
      </c>
      <c r="T9" s="257">
        <f t="shared" si="5"/>
        <v>0</v>
      </c>
      <c r="U9" s="257">
        <f t="shared" si="5"/>
        <v>0</v>
      </c>
      <c r="V9" s="257">
        <f t="shared" si="5"/>
        <v>0</v>
      </c>
      <c r="W9" s="257">
        <f t="shared" si="5"/>
        <v>0</v>
      </c>
      <c r="X9" s="257">
        <f t="shared" si="5"/>
        <v>0</v>
      </c>
      <c r="Y9" s="257">
        <f t="shared" si="5"/>
        <v>0</v>
      </c>
      <c r="Z9" s="257">
        <f t="shared" si="5"/>
        <v>0</v>
      </c>
      <c r="AA9" s="1211" t="s">
        <v>197</v>
      </c>
      <c r="AB9" s="1212"/>
    </row>
    <row r="10" spans="1:28" ht="13.35" customHeight="1">
      <c r="A10" s="50" t="s">
        <v>5</v>
      </c>
      <c r="B10" s="232">
        <f>+EÜR!$I$3</f>
        <v>46023</v>
      </c>
      <c r="C10" s="84" t="s">
        <v>199</v>
      </c>
      <c r="D10" s="235"/>
      <c r="E10" s="277"/>
      <c r="F10" s="278" t="s">
        <v>105</v>
      </c>
      <c r="G10" s="279">
        <f>+'A07'!$H$48</f>
        <v>0</v>
      </c>
      <c r="H10" s="228"/>
      <c r="I10" s="229"/>
      <c r="J10" s="280" t="str">
        <f t="shared" si="2"/>
        <v/>
      </c>
      <c r="K10" s="200">
        <v>7</v>
      </c>
      <c r="L10" s="133">
        <f t="shared" si="3"/>
        <v>1</v>
      </c>
      <c r="M10" s="135" t="s">
        <v>5</v>
      </c>
      <c r="N10" s="259">
        <f>IF(O10+AA10&lt;&gt;G48,1,0)</f>
        <v>0</v>
      </c>
      <c r="O10" s="1259">
        <f>SUM(O5:Z8)</f>
        <v>0</v>
      </c>
      <c r="P10" s="1260"/>
      <c r="Q10" s="1260"/>
      <c r="R10" s="1260"/>
      <c r="S10" s="1260"/>
      <c r="T10" s="1260"/>
      <c r="U10" s="1260"/>
      <c r="V10" s="1260"/>
      <c r="W10" s="1260"/>
      <c r="X10" s="1260"/>
      <c r="Y10" s="1260"/>
      <c r="Z10" s="1261"/>
      <c r="AA10" s="292"/>
      <c r="AB10" s="313" t="s">
        <v>257</v>
      </c>
    </row>
    <row r="11" spans="1:28" ht="13.35" customHeight="1">
      <c r="A11" s="50" t="s">
        <v>5</v>
      </c>
      <c r="B11" s="232">
        <f>+EÜR!$I$3</f>
        <v>46023</v>
      </c>
      <c r="C11" s="84" t="s">
        <v>19</v>
      </c>
      <c r="D11" s="235"/>
      <c r="E11" s="277"/>
      <c r="F11" s="278" t="s">
        <v>209</v>
      </c>
      <c r="G11" s="279">
        <f>+'A08'!$H$48</f>
        <v>0</v>
      </c>
      <c r="H11" s="228"/>
      <c r="I11" s="229"/>
      <c r="J11" s="280" t="str">
        <f t="shared" si="2"/>
        <v/>
      </c>
      <c r="K11" s="200">
        <v>8</v>
      </c>
      <c r="L11" s="133">
        <f t="shared" si="3"/>
        <v>1</v>
      </c>
      <c r="M11" s="135" t="s">
        <v>5</v>
      </c>
      <c r="O11" s="1248" t="str">
        <f>IF(N4&gt;0,"Fehler!","")</f>
        <v/>
      </c>
      <c r="P11" s="1248"/>
      <c r="Q11" s="1248"/>
      <c r="R11" s="1248"/>
      <c r="S11" s="1248"/>
      <c r="T11" s="1248"/>
      <c r="U11" s="1248"/>
      <c r="V11" s="1248"/>
      <c r="W11" s="1248"/>
      <c r="X11" s="1248"/>
      <c r="Y11" s="1248"/>
      <c r="Z11" s="1248"/>
    </row>
    <row r="12" spans="1:28" ht="13.35" customHeight="1">
      <c r="A12" s="50" t="s">
        <v>5</v>
      </c>
      <c r="B12" s="232">
        <f>+EÜR!$I$3</f>
        <v>46023</v>
      </c>
      <c r="C12" s="84" t="s">
        <v>20</v>
      </c>
      <c r="D12" s="235"/>
      <c r="E12" s="277"/>
      <c r="F12" s="278" t="s">
        <v>106</v>
      </c>
      <c r="G12" s="279">
        <f>+'A09'!$H$48</f>
        <v>0</v>
      </c>
      <c r="H12" s="228"/>
      <c r="I12" s="229"/>
      <c r="J12" s="280" t="str">
        <f t="shared" si="2"/>
        <v/>
      </c>
      <c r="K12" s="200">
        <v>9</v>
      </c>
      <c r="L12" s="133">
        <f t="shared" si="3"/>
        <v>1</v>
      </c>
      <c r="M12" s="135" t="s">
        <v>5</v>
      </c>
      <c r="AA12" s="38"/>
    </row>
    <row r="13" spans="1:28" ht="13.35" customHeight="1">
      <c r="A13" s="50" t="s">
        <v>5</v>
      </c>
      <c r="B13" s="232">
        <f>+EÜR!$I$3</f>
        <v>46023</v>
      </c>
      <c r="C13" s="84" t="s">
        <v>53</v>
      </c>
      <c r="D13" s="235"/>
      <c r="E13" s="277"/>
      <c r="F13" s="278" t="s">
        <v>107</v>
      </c>
      <c r="G13" s="279">
        <f>+'A10'!$H$48</f>
        <v>0</v>
      </c>
      <c r="H13" s="228"/>
      <c r="I13" s="229"/>
      <c r="J13" s="280" t="str">
        <f t="shared" si="2"/>
        <v/>
      </c>
      <c r="K13" s="200">
        <v>10</v>
      </c>
      <c r="L13" s="133">
        <f t="shared" si="3"/>
        <v>1</v>
      </c>
      <c r="M13" s="135" t="s">
        <v>5</v>
      </c>
    </row>
    <row r="14" spans="1:28" ht="13.35" customHeight="1">
      <c r="A14" s="50" t="s">
        <v>5</v>
      </c>
      <c r="B14" s="232">
        <f>+EÜR!$I$3</f>
        <v>46023</v>
      </c>
      <c r="C14" s="84" t="s">
        <v>54</v>
      </c>
      <c r="D14" s="235"/>
      <c r="E14" s="277"/>
      <c r="F14" s="278" t="s">
        <v>108</v>
      </c>
      <c r="G14" s="279">
        <f>+'A11'!$H$48</f>
        <v>0</v>
      </c>
      <c r="H14" s="228"/>
      <c r="I14" s="229"/>
      <c r="J14" s="280" t="str">
        <f t="shared" si="2"/>
        <v/>
      </c>
      <c r="K14" s="200">
        <v>11</v>
      </c>
      <c r="L14" s="133">
        <f t="shared" si="3"/>
        <v>1</v>
      </c>
      <c r="M14" s="135" t="s">
        <v>5</v>
      </c>
    </row>
    <row r="15" spans="1:28" ht="13.35" customHeight="1">
      <c r="A15" s="50" t="s">
        <v>5</v>
      </c>
      <c r="B15" s="232">
        <f>+EÜR!$I$3</f>
        <v>46023</v>
      </c>
      <c r="C15" s="261" t="s">
        <v>204</v>
      </c>
      <c r="D15" s="235"/>
      <c r="E15" s="277"/>
      <c r="F15" s="278" t="s">
        <v>109</v>
      </c>
      <c r="G15" s="279">
        <f>+'A12'!$H$48</f>
        <v>0</v>
      </c>
      <c r="H15" s="228"/>
      <c r="I15" s="229"/>
      <c r="J15" s="280" t="str">
        <f t="shared" si="2"/>
        <v/>
      </c>
      <c r="K15" s="200">
        <v>12</v>
      </c>
      <c r="L15" s="133">
        <f t="shared" si="3"/>
        <v>1</v>
      </c>
      <c r="M15" s="135" t="s">
        <v>5</v>
      </c>
    </row>
    <row r="16" spans="1:28" ht="13.35" customHeight="1">
      <c r="A16" s="50" t="s">
        <v>5</v>
      </c>
      <c r="B16" s="232">
        <f>+EÜR!$I$3</f>
        <v>46023</v>
      </c>
      <c r="C16" s="84" t="s">
        <v>2</v>
      </c>
      <c r="D16" s="235"/>
      <c r="E16" s="277"/>
      <c r="F16" s="278" t="s">
        <v>110</v>
      </c>
      <c r="G16" s="279">
        <f>+'A13'!$H$48</f>
        <v>0</v>
      </c>
      <c r="H16" s="228"/>
      <c r="I16" s="229"/>
      <c r="J16" s="280" t="str">
        <f t="shared" si="2"/>
        <v/>
      </c>
      <c r="K16" s="200">
        <v>13</v>
      </c>
      <c r="L16" s="133">
        <f t="shared" si="3"/>
        <v>1</v>
      </c>
      <c r="M16" s="135" t="s">
        <v>5</v>
      </c>
    </row>
    <row r="17" spans="1:13" ht="13.35" customHeight="1">
      <c r="A17" s="50" t="s">
        <v>5</v>
      </c>
      <c r="B17" s="232">
        <f>+EÜR!$I$3</f>
        <v>46023</v>
      </c>
      <c r="C17" s="84" t="s">
        <v>35</v>
      </c>
      <c r="D17" s="235"/>
      <c r="E17" s="277"/>
      <c r="F17" s="278" t="s">
        <v>111</v>
      </c>
      <c r="G17" s="279">
        <f>+'A14'!$H$48</f>
        <v>0</v>
      </c>
      <c r="H17" s="228"/>
      <c r="I17" s="229"/>
      <c r="J17" s="280" t="str">
        <f t="shared" si="2"/>
        <v/>
      </c>
      <c r="K17" s="200">
        <v>14</v>
      </c>
      <c r="L17" s="133">
        <f t="shared" si="3"/>
        <v>1</v>
      </c>
      <c r="M17" s="135" t="s">
        <v>5</v>
      </c>
    </row>
    <row r="18" spans="1:13" ht="13.35" customHeight="1">
      <c r="A18" s="50" t="s">
        <v>5</v>
      </c>
      <c r="B18" s="232">
        <f>+EÜR!$I$3</f>
        <v>46023</v>
      </c>
      <c r="C18" s="84" t="s">
        <v>21</v>
      </c>
      <c r="D18" s="235"/>
      <c r="E18" s="277"/>
      <c r="F18" s="278" t="s">
        <v>112</v>
      </c>
      <c r="G18" s="279">
        <f>+'A15'!$H$48</f>
        <v>0</v>
      </c>
      <c r="H18" s="228"/>
      <c r="I18" s="229"/>
      <c r="J18" s="280" t="str">
        <f t="shared" si="2"/>
        <v/>
      </c>
      <c r="K18" s="200">
        <v>15</v>
      </c>
      <c r="L18" s="133">
        <f t="shared" si="3"/>
        <v>1</v>
      </c>
      <c r="M18" s="135" t="s">
        <v>5</v>
      </c>
    </row>
    <row r="19" spans="1:13" ht="13.35" customHeight="1">
      <c r="A19" s="50" t="s">
        <v>5</v>
      </c>
      <c r="B19" s="232">
        <f>+EÜR!$I$3</f>
        <v>46023</v>
      </c>
      <c r="C19" s="84" t="s">
        <v>22</v>
      </c>
      <c r="D19" s="235"/>
      <c r="E19" s="277"/>
      <c r="F19" s="278" t="s">
        <v>113</v>
      </c>
      <c r="G19" s="279">
        <f>+'A16'!$H$48</f>
        <v>0</v>
      </c>
      <c r="H19" s="228"/>
      <c r="I19" s="229"/>
      <c r="J19" s="280" t="str">
        <f t="shared" si="2"/>
        <v/>
      </c>
      <c r="K19" s="200">
        <v>16</v>
      </c>
      <c r="L19" s="133">
        <f t="shared" si="3"/>
        <v>1</v>
      </c>
      <c r="M19" s="135" t="s">
        <v>5</v>
      </c>
    </row>
    <row r="20" spans="1:13" ht="13.35" customHeight="1">
      <c r="A20" s="50" t="s">
        <v>5</v>
      </c>
      <c r="B20" s="232">
        <f>+EÜR!$I$3</f>
        <v>46023</v>
      </c>
      <c r="C20" s="84" t="s">
        <v>55</v>
      </c>
      <c r="D20" s="235"/>
      <c r="E20" s="277"/>
      <c r="F20" s="278" t="s">
        <v>114</v>
      </c>
      <c r="G20" s="279">
        <f>+'A17'!$H$48</f>
        <v>0</v>
      </c>
      <c r="H20" s="228"/>
      <c r="I20" s="229"/>
      <c r="J20" s="280" t="str">
        <f t="shared" si="2"/>
        <v/>
      </c>
      <c r="K20" s="200">
        <v>17</v>
      </c>
      <c r="L20" s="133">
        <f t="shared" si="3"/>
        <v>1</v>
      </c>
      <c r="M20" s="135" t="s">
        <v>5</v>
      </c>
    </row>
    <row r="21" spans="1:13" ht="13.35" customHeight="1">
      <c r="A21" s="50" t="s">
        <v>5</v>
      </c>
      <c r="B21" s="232">
        <f>+EÜR!$I$3</f>
        <v>46023</v>
      </c>
      <c r="C21" s="84" t="s">
        <v>56</v>
      </c>
      <c r="D21" s="235"/>
      <c r="E21" s="277"/>
      <c r="F21" s="278" t="s">
        <v>115</v>
      </c>
      <c r="G21" s="279">
        <f>+'A18'!$H$48</f>
        <v>0</v>
      </c>
      <c r="H21" s="228"/>
      <c r="I21" s="229"/>
      <c r="J21" s="280" t="str">
        <f t="shared" si="2"/>
        <v/>
      </c>
      <c r="K21" s="200">
        <v>18</v>
      </c>
      <c r="L21" s="133">
        <f t="shared" si="3"/>
        <v>1</v>
      </c>
      <c r="M21" s="135" t="s">
        <v>5</v>
      </c>
    </row>
    <row r="22" spans="1:13" ht="13.35" customHeight="1">
      <c r="A22" s="50" t="s">
        <v>5</v>
      </c>
      <c r="B22" s="232">
        <f>+EÜR!$I$3</f>
        <v>46023</v>
      </c>
      <c r="C22" s="84" t="s">
        <v>23</v>
      </c>
      <c r="D22" s="235"/>
      <c r="E22" s="277"/>
      <c r="F22" s="278" t="s">
        <v>116</v>
      </c>
      <c r="G22" s="279">
        <f>+'A19'!$H$48</f>
        <v>0</v>
      </c>
      <c r="H22" s="228"/>
      <c r="I22" s="229"/>
      <c r="J22" s="280" t="str">
        <f t="shared" si="2"/>
        <v/>
      </c>
      <c r="K22" s="200">
        <v>19</v>
      </c>
      <c r="L22" s="133">
        <f t="shared" si="3"/>
        <v>1</v>
      </c>
      <c r="M22" s="135" t="s">
        <v>5</v>
      </c>
    </row>
    <row r="23" spans="1:13" ht="13.35" customHeight="1">
      <c r="A23" s="50" t="s">
        <v>5</v>
      </c>
      <c r="B23" s="232">
        <f>+EÜR!$I$3</f>
        <v>46023</v>
      </c>
      <c r="C23" s="84" t="s">
        <v>198</v>
      </c>
      <c r="D23" s="241"/>
      <c r="E23" s="277"/>
      <c r="F23" s="278" t="s">
        <v>117</v>
      </c>
      <c r="G23" s="279">
        <f>+'A20'!$H$48</f>
        <v>0</v>
      </c>
      <c r="H23" s="228"/>
      <c r="I23" s="229"/>
      <c r="J23" s="280" t="str">
        <f t="shared" si="2"/>
        <v/>
      </c>
      <c r="K23" s="200">
        <v>20</v>
      </c>
      <c r="L23" s="133">
        <f t="shared" si="3"/>
        <v>1</v>
      </c>
      <c r="M23" s="135" t="s">
        <v>5</v>
      </c>
    </row>
    <row r="24" spans="1:13" ht="13.35" customHeight="1">
      <c r="A24" s="50" t="s">
        <v>5</v>
      </c>
      <c r="B24" s="232">
        <f>+EÜR!$I$3</f>
        <v>46023</v>
      </c>
      <c r="C24" s="84" t="s">
        <v>202</v>
      </c>
      <c r="D24" s="235"/>
      <c r="E24" s="277"/>
      <c r="F24" s="278" t="s">
        <v>118</v>
      </c>
      <c r="G24" s="279">
        <f>+'A21'!$H$48</f>
        <v>0</v>
      </c>
      <c r="H24" s="228"/>
      <c r="I24" s="229"/>
      <c r="J24" s="280" t="str">
        <f t="shared" si="2"/>
        <v/>
      </c>
      <c r="K24" s="200">
        <v>21</v>
      </c>
      <c r="L24" s="133">
        <f t="shared" si="3"/>
        <v>1</v>
      </c>
      <c r="M24" s="135" t="s">
        <v>5</v>
      </c>
    </row>
    <row r="25" spans="1:13" ht="13.35" customHeight="1">
      <c r="A25" s="50" t="s">
        <v>5</v>
      </c>
      <c r="B25" s="232">
        <f>+EÜR!$I$3</f>
        <v>46023</v>
      </c>
      <c r="C25" s="84" t="s">
        <v>26</v>
      </c>
      <c r="D25" s="235"/>
      <c r="E25" s="277"/>
      <c r="F25" s="278" t="s">
        <v>210</v>
      </c>
      <c r="G25" s="279">
        <f>+'A22'!$H$48</f>
        <v>0</v>
      </c>
      <c r="H25" s="228"/>
      <c r="I25" s="229"/>
      <c r="J25" s="280" t="str">
        <f t="shared" si="2"/>
        <v/>
      </c>
      <c r="K25" s="200">
        <v>22</v>
      </c>
      <c r="L25" s="133">
        <f t="shared" si="3"/>
        <v>1</v>
      </c>
      <c r="M25" s="135" t="s">
        <v>5</v>
      </c>
    </row>
    <row r="26" spans="1:13" ht="13.35" customHeight="1">
      <c r="A26" s="50" t="s">
        <v>5</v>
      </c>
      <c r="B26" s="232">
        <f>+EÜR!$I$3</f>
        <v>46023</v>
      </c>
      <c r="C26" s="84" t="s">
        <v>27</v>
      </c>
      <c r="D26" s="235"/>
      <c r="E26" s="277"/>
      <c r="F26" s="278" t="s">
        <v>211</v>
      </c>
      <c r="G26" s="279">
        <f>+'A23'!$H$48</f>
        <v>0</v>
      </c>
      <c r="H26" s="228"/>
      <c r="I26" s="229"/>
      <c r="J26" s="280" t="str">
        <f t="shared" si="2"/>
        <v/>
      </c>
      <c r="K26" s="200">
        <v>23</v>
      </c>
      <c r="L26" s="133">
        <f t="shared" si="3"/>
        <v>1</v>
      </c>
      <c r="M26" s="135" t="s">
        <v>5</v>
      </c>
    </row>
    <row r="27" spans="1:13" ht="13.35" customHeight="1">
      <c r="A27" s="50" t="s">
        <v>5</v>
      </c>
      <c r="B27" s="232">
        <f>+EÜR!$I$3</f>
        <v>46023</v>
      </c>
      <c r="C27" s="84" t="s">
        <v>28</v>
      </c>
      <c r="D27" s="235"/>
      <c r="E27" s="277"/>
      <c r="F27" s="278" t="s">
        <v>119</v>
      </c>
      <c r="G27" s="279">
        <f>+'A24'!$H$48</f>
        <v>0</v>
      </c>
      <c r="H27" s="228"/>
      <c r="I27" s="229"/>
      <c r="J27" s="280" t="str">
        <f t="shared" si="2"/>
        <v/>
      </c>
      <c r="K27" s="200">
        <v>24</v>
      </c>
      <c r="L27" s="133">
        <f t="shared" si="3"/>
        <v>1</v>
      </c>
      <c r="M27" s="135" t="s">
        <v>5</v>
      </c>
    </row>
    <row r="28" spans="1:13" ht="13.35" customHeight="1">
      <c r="A28" s="50" t="s">
        <v>5</v>
      </c>
      <c r="B28" s="232">
        <f>+EÜR!$I$3</f>
        <v>46023</v>
      </c>
      <c r="C28" s="84" t="s">
        <v>29</v>
      </c>
      <c r="D28" s="235"/>
      <c r="E28" s="277"/>
      <c r="F28" s="278" t="s">
        <v>120</v>
      </c>
      <c r="G28" s="279">
        <f>+'A25'!$H$48</f>
        <v>0</v>
      </c>
      <c r="H28" s="228"/>
      <c r="I28" s="229"/>
      <c r="J28" s="280" t="str">
        <f t="shared" si="2"/>
        <v/>
      </c>
      <c r="K28" s="200">
        <v>25</v>
      </c>
      <c r="L28" s="133">
        <f t="shared" si="3"/>
        <v>1</v>
      </c>
      <c r="M28" s="135" t="s">
        <v>5</v>
      </c>
    </row>
    <row r="29" spans="1:13" ht="13.35" customHeight="1">
      <c r="A29" s="50" t="s">
        <v>5</v>
      </c>
      <c r="B29" s="232">
        <f>+EÜR!$I$3</f>
        <v>46023</v>
      </c>
      <c r="C29" s="84" t="s">
        <v>200</v>
      </c>
      <c r="D29" s="235"/>
      <c r="E29" s="277"/>
      <c r="F29" s="278" t="s">
        <v>121</v>
      </c>
      <c r="G29" s="279">
        <f>+'A26'!$H$48</f>
        <v>0</v>
      </c>
      <c r="H29" s="228"/>
      <c r="I29" s="229"/>
      <c r="J29" s="280" t="str">
        <f t="shared" si="2"/>
        <v/>
      </c>
      <c r="K29" s="200">
        <v>26</v>
      </c>
      <c r="L29" s="133">
        <f t="shared" si="3"/>
        <v>1</v>
      </c>
      <c r="M29" s="135" t="s">
        <v>5</v>
      </c>
    </row>
    <row r="30" spans="1:13" ht="13.35" customHeight="1">
      <c r="A30" s="50" t="s">
        <v>5</v>
      </c>
      <c r="B30" s="232">
        <f>+EÜR!$I$3</f>
        <v>46023</v>
      </c>
      <c r="C30" s="84" t="s">
        <v>57</v>
      </c>
      <c r="D30" s="235"/>
      <c r="E30" s="277"/>
      <c r="F30" s="278" t="s">
        <v>212</v>
      </c>
      <c r="G30" s="279">
        <f>+'A27'!$H$48</f>
        <v>0</v>
      </c>
      <c r="H30" s="228"/>
      <c r="I30" s="229"/>
      <c r="J30" s="280" t="str">
        <f t="shared" si="2"/>
        <v/>
      </c>
      <c r="K30" s="200">
        <v>27</v>
      </c>
      <c r="L30" s="133">
        <f t="shared" si="3"/>
        <v>1</v>
      </c>
      <c r="M30" s="135" t="s">
        <v>5</v>
      </c>
    </row>
    <row r="31" spans="1:13" ht="13.35" customHeight="1">
      <c r="A31" s="50" t="s">
        <v>5</v>
      </c>
      <c r="B31" s="232">
        <f>+EÜR!$I$3</f>
        <v>46023</v>
      </c>
      <c r="C31" s="84" t="s">
        <v>58</v>
      </c>
      <c r="D31" s="235"/>
      <c r="E31" s="277"/>
      <c r="F31" s="278" t="s">
        <v>122</v>
      </c>
      <c r="G31" s="279">
        <f>+'A28'!$H$48</f>
        <v>0</v>
      </c>
      <c r="H31" s="228"/>
      <c r="I31" s="229"/>
      <c r="J31" s="280" t="str">
        <f t="shared" si="2"/>
        <v/>
      </c>
      <c r="K31" s="200">
        <v>28</v>
      </c>
      <c r="L31" s="133">
        <f t="shared" si="3"/>
        <v>1</v>
      </c>
      <c r="M31" s="135" t="s">
        <v>5</v>
      </c>
    </row>
    <row r="32" spans="1:13" ht="13.35" customHeight="1">
      <c r="A32" s="50" t="s">
        <v>5</v>
      </c>
      <c r="B32" s="232">
        <f>+EÜR!$I$3</f>
        <v>46023</v>
      </c>
      <c r="C32" s="84" t="s">
        <v>30</v>
      </c>
      <c r="D32" s="235"/>
      <c r="E32" s="277"/>
      <c r="F32" s="278" t="s">
        <v>123</v>
      </c>
      <c r="G32" s="279">
        <f>+'A29'!$H$48</f>
        <v>0</v>
      </c>
      <c r="H32" s="228"/>
      <c r="I32" s="229"/>
      <c r="J32" s="280" t="str">
        <f t="shared" si="2"/>
        <v/>
      </c>
      <c r="K32" s="200">
        <v>29</v>
      </c>
      <c r="L32" s="133">
        <f t="shared" si="3"/>
        <v>1</v>
      </c>
      <c r="M32" s="135" t="s">
        <v>5</v>
      </c>
    </row>
    <row r="33" spans="1:13" ht="13.35" customHeight="1">
      <c r="A33" s="50" t="s">
        <v>5</v>
      </c>
      <c r="B33" s="232">
        <f>+EÜR!$I$3</f>
        <v>46023</v>
      </c>
      <c r="C33" s="84" t="s">
        <v>162</v>
      </c>
      <c r="D33" s="235"/>
      <c r="E33" s="277"/>
      <c r="F33" s="278" t="s">
        <v>124</v>
      </c>
      <c r="G33" s="279">
        <f>+'A30'!$H$48</f>
        <v>0</v>
      </c>
      <c r="H33" s="228"/>
      <c r="I33" s="229"/>
      <c r="J33" s="280" t="str">
        <f t="shared" si="2"/>
        <v/>
      </c>
      <c r="K33" s="200">
        <v>30</v>
      </c>
      <c r="L33" s="133">
        <f t="shared" si="3"/>
        <v>1</v>
      </c>
      <c r="M33" s="135" t="s">
        <v>5</v>
      </c>
    </row>
    <row r="34" spans="1:13" ht="13.35" customHeight="1">
      <c r="A34" s="50" t="s">
        <v>5</v>
      </c>
      <c r="B34" s="232">
        <f>+EÜR!$I$3</f>
        <v>46023</v>
      </c>
      <c r="C34" s="84" t="s">
        <v>201</v>
      </c>
      <c r="D34" s="235"/>
      <c r="E34" s="277"/>
      <c r="F34" s="278" t="s">
        <v>125</v>
      </c>
      <c r="G34" s="279">
        <f>+'A31'!$H$48</f>
        <v>0</v>
      </c>
      <c r="H34" s="228"/>
      <c r="I34" s="229"/>
      <c r="J34" s="280" t="str">
        <f t="shared" si="2"/>
        <v/>
      </c>
      <c r="K34" s="200">
        <v>31</v>
      </c>
      <c r="L34" s="133">
        <f t="shared" si="3"/>
        <v>1</v>
      </c>
      <c r="M34" s="135" t="s">
        <v>5</v>
      </c>
    </row>
    <row r="35" spans="1:13" ht="13.35" customHeight="1">
      <c r="A35" s="50" t="s">
        <v>5</v>
      </c>
      <c r="B35" s="232">
        <f>+EÜR!$I$3</f>
        <v>46023</v>
      </c>
      <c r="C35" s="84" t="s">
        <v>173</v>
      </c>
      <c r="D35" s="235"/>
      <c r="E35" s="277"/>
      <c r="F35" s="278" t="s">
        <v>174</v>
      </c>
      <c r="G35" s="279">
        <f>+K!H48</f>
        <v>0</v>
      </c>
      <c r="H35" s="228"/>
      <c r="I35" s="229"/>
      <c r="J35" s="280" t="str">
        <f t="shared" si="2"/>
        <v/>
      </c>
      <c r="K35" s="200">
        <v>32</v>
      </c>
      <c r="L35" s="133">
        <f t="shared" si="3"/>
        <v>1</v>
      </c>
      <c r="M35" s="135" t="s">
        <v>5</v>
      </c>
    </row>
    <row r="36" spans="1:13" ht="13.35" customHeight="1">
      <c r="A36" s="50" t="s">
        <v>5</v>
      </c>
      <c r="B36" s="270" t="s">
        <v>151</v>
      </c>
      <c r="C36" s="1267" t="s">
        <v>459</v>
      </c>
      <c r="D36" s="1268"/>
      <c r="E36" s="1268"/>
      <c r="F36" s="1268"/>
      <c r="G36" s="1269"/>
      <c r="H36" s="1265">
        <f>SUM(G4:G35)</f>
        <v>0</v>
      </c>
      <c r="I36" s="1276"/>
      <c r="J36" s="345" t="str">
        <f t="shared" ref="J36" si="6">IF(G36&lt;&gt;0,G36,"")</f>
        <v/>
      </c>
      <c r="K36" s="200">
        <v>33</v>
      </c>
      <c r="L36" s="133">
        <f t="shared" si="3"/>
        <v>0</v>
      </c>
      <c r="M36" s="135" t="s">
        <v>5</v>
      </c>
    </row>
    <row r="37" spans="1:13" ht="13.35" customHeight="1">
      <c r="A37" s="50" t="s">
        <v>5</v>
      </c>
      <c r="B37" s="272"/>
      <c r="C37" s="181"/>
      <c r="D37" s="182"/>
      <c r="E37" s="271"/>
      <c r="F37" s="183"/>
      <c r="G37" s="85"/>
      <c r="H37" s="228"/>
      <c r="I37" s="229"/>
      <c r="J37" s="184" t="str">
        <f t="shared" si="2"/>
        <v/>
      </c>
      <c r="K37" s="200">
        <v>34</v>
      </c>
      <c r="L37" s="133">
        <f t="shared" si="3"/>
        <v>0</v>
      </c>
      <c r="M37" s="135" t="s">
        <v>5</v>
      </c>
    </row>
    <row r="38" spans="1:13" ht="13.35" customHeight="1">
      <c r="A38" s="50" t="s">
        <v>5</v>
      </c>
      <c r="B38" s="272"/>
      <c r="C38" s="181"/>
      <c r="D38" s="182"/>
      <c r="E38" s="271"/>
      <c r="F38" s="183"/>
      <c r="G38" s="85"/>
      <c r="H38" s="228"/>
      <c r="I38" s="229"/>
      <c r="J38" s="184" t="str">
        <f t="shared" si="2"/>
        <v/>
      </c>
      <c r="K38" s="200">
        <v>35</v>
      </c>
      <c r="L38" s="133">
        <f t="shared" si="3"/>
        <v>0</v>
      </c>
      <c r="M38" s="135" t="s">
        <v>5</v>
      </c>
    </row>
    <row r="39" spans="1:13" ht="13.35" customHeight="1">
      <c r="A39" s="50" t="s">
        <v>5</v>
      </c>
      <c r="B39" s="272"/>
      <c r="C39" s="181"/>
      <c r="D39" s="182"/>
      <c r="E39" s="271"/>
      <c r="F39" s="183"/>
      <c r="G39" s="85"/>
      <c r="H39" s="228"/>
      <c r="I39" s="229"/>
      <c r="J39" s="184" t="str">
        <f t="shared" si="2"/>
        <v/>
      </c>
      <c r="K39" s="200">
        <v>36</v>
      </c>
      <c r="L39" s="133">
        <f t="shared" si="3"/>
        <v>0</v>
      </c>
      <c r="M39" s="135" t="s">
        <v>5</v>
      </c>
    </row>
    <row r="40" spans="1:13" ht="13.35" customHeight="1">
      <c r="A40" s="50" t="s">
        <v>5</v>
      </c>
      <c r="B40" s="272"/>
      <c r="C40" s="181"/>
      <c r="D40" s="182"/>
      <c r="E40" s="271"/>
      <c r="F40" s="183"/>
      <c r="G40" s="85"/>
      <c r="H40" s="228"/>
      <c r="I40" s="229"/>
      <c r="J40" s="184" t="str">
        <f t="shared" si="2"/>
        <v/>
      </c>
      <c r="K40" s="200">
        <v>37</v>
      </c>
      <c r="L40" s="133">
        <f t="shared" si="3"/>
        <v>0</v>
      </c>
      <c r="M40" s="135" t="s">
        <v>5</v>
      </c>
    </row>
    <row r="41" spans="1:13" ht="13.35" customHeight="1">
      <c r="A41" s="50" t="s">
        <v>5</v>
      </c>
      <c r="B41" s="272"/>
      <c r="C41" s="181"/>
      <c r="D41" s="182"/>
      <c r="E41" s="271"/>
      <c r="F41" s="183"/>
      <c r="G41" s="85"/>
      <c r="H41" s="228"/>
      <c r="I41" s="229"/>
      <c r="J41" s="184" t="str">
        <f t="shared" si="2"/>
        <v/>
      </c>
      <c r="K41" s="200">
        <v>38</v>
      </c>
      <c r="L41" s="133">
        <f t="shared" si="3"/>
        <v>0</v>
      </c>
      <c r="M41" s="135" t="s">
        <v>5</v>
      </c>
    </row>
    <row r="42" spans="1:13" ht="13.35" customHeight="1">
      <c r="A42" s="50" t="s">
        <v>5</v>
      </c>
      <c r="B42" s="272"/>
      <c r="C42" s="181"/>
      <c r="D42" s="182"/>
      <c r="E42" s="271"/>
      <c r="F42" s="183"/>
      <c r="G42" s="85"/>
      <c r="H42" s="228"/>
      <c r="I42" s="229"/>
      <c r="J42" s="184" t="str">
        <f t="shared" si="2"/>
        <v/>
      </c>
      <c r="K42" s="200">
        <v>39</v>
      </c>
      <c r="L42" s="133">
        <f t="shared" si="3"/>
        <v>0</v>
      </c>
      <c r="M42" s="135" t="s">
        <v>5</v>
      </c>
    </row>
    <row r="43" spans="1:13" ht="13.35" customHeight="1">
      <c r="A43" s="50" t="s">
        <v>5</v>
      </c>
      <c r="B43" s="272"/>
      <c r="C43" s="181"/>
      <c r="D43" s="182"/>
      <c r="E43" s="271"/>
      <c r="F43" s="183"/>
      <c r="G43" s="85"/>
      <c r="H43" s="228"/>
      <c r="I43" s="229"/>
      <c r="J43" s="184" t="str">
        <f t="shared" si="2"/>
        <v/>
      </c>
      <c r="K43" s="200">
        <v>40</v>
      </c>
      <c r="L43" s="133">
        <f t="shared" si="3"/>
        <v>0</v>
      </c>
      <c r="M43" s="135" t="s">
        <v>5</v>
      </c>
    </row>
    <row r="44" spans="1:13" ht="13.35" customHeight="1">
      <c r="A44" s="50" t="s">
        <v>5</v>
      </c>
      <c r="B44" s="272"/>
      <c r="C44" s="181"/>
      <c r="D44" s="182"/>
      <c r="E44" s="271"/>
      <c r="F44" s="183"/>
      <c r="G44" s="85"/>
      <c r="H44" s="228"/>
      <c r="I44" s="229"/>
      <c r="J44" s="184" t="str">
        <f t="shared" si="2"/>
        <v/>
      </c>
      <c r="K44" s="200">
        <v>41</v>
      </c>
      <c r="L44" s="133">
        <f t="shared" si="3"/>
        <v>0</v>
      </c>
      <c r="M44" s="135" t="s">
        <v>5</v>
      </c>
    </row>
    <row r="45" spans="1:13" ht="13.35" customHeight="1">
      <c r="A45" s="50" t="s">
        <v>5</v>
      </c>
      <c r="B45" s="272"/>
      <c r="C45" s="181"/>
      <c r="D45" s="182"/>
      <c r="E45" s="383"/>
      <c r="F45" s="183"/>
      <c r="G45" s="85"/>
      <c r="H45" s="228"/>
      <c r="I45" s="229"/>
      <c r="J45" s="184" t="str">
        <f t="shared" ref="J45:J46" si="7">IF(G45&lt;&gt;0,+G45-I45,"")</f>
        <v/>
      </c>
      <c r="K45" s="200">
        <v>44</v>
      </c>
      <c r="L45" s="133">
        <f t="shared" ref="L45:L46" si="8">IF(B45&lt;$O$2,0,IF(B45&lt;$P$2,1,IF(B45&lt;$Q$2,2,IF(B45&lt;$R$2,3,IF(B45&lt;$S$2,4,IF(B45&lt;$T$2,5,IF(B45&lt;$U$2,6,IF(B45&lt;$V$2,7,IF(B45&lt;$W$2,8,IF(B45&lt;$X$2,9,IF(B45&lt;$Y$2,10,IF(B45&lt;$Z$2,11,IF(B45&lt;=$Z$3,12,0)))))))))))))</f>
        <v>0</v>
      </c>
      <c r="M45" s="135" t="s">
        <v>5</v>
      </c>
    </row>
    <row r="46" spans="1:13" ht="13.35" customHeight="1" thickBot="1">
      <c r="A46" s="50" t="s">
        <v>5</v>
      </c>
      <c r="B46" s="272"/>
      <c r="C46" s="181"/>
      <c r="D46" s="182"/>
      <c r="E46" s="384"/>
      <c r="F46" s="183"/>
      <c r="G46" s="85"/>
      <c r="H46" s="228"/>
      <c r="I46" s="229"/>
      <c r="J46" s="184" t="str">
        <f t="shared" si="7"/>
        <v/>
      </c>
      <c r="K46" s="200">
        <v>45</v>
      </c>
      <c r="L46" s="133">
        <f t="shared" si="8"/>
        <v>0</v>
      </c>
      <c r="M46" s="135" t="s">
        <v>5</v>
      </c>
    </row>
    <row r="47" spans="1:13" ht="12" customHeight="1" thickTop="1" thickBot="1">
      <c r="A47" s="391" t="s">
        <v>283</v>
      </c>
      <c r="B47" s="1244" t="str">
        <f>IF($A$48=0,"^ Zeile einfügen","bis hierher ziehen!")</f>
        <v>^ Zeile einfügen</v>
      </c>
      <c r="C47" s="1244"/>
      <c r="D47" s="392" t="s">
        <v>5</v>
      </c>
      <c r="E47" s="393" t="s">
        <v>5</v>
      </c>
      <c r="F47" s="394" t="s">
        <v>5</v>
      </c>
      <c r="G47" s="394"/>
      <c r="H47" s="395"/>
      <c r="I47" s="396"/>
      <c r="J47" s="425"/>
      <c r="K47" s="201">
        <v>0</v>
      </c>
      <c r="L47" s="185" t="s">
        <v>5</v>
      </c>
      <c r="M47" s="398" t="s">
        <v>283</v>
      </c>
    </row>
    <row r="48" spans="1:13" ht="12" customHeight="1" thickTop="1" thickBot="1">
      <c r="A48" s="390">
        <f>COUNTBLANK(A3:A47)+A49</f>
        <v>0</v>
      </c>
      <c r="B48" s="193" t="str">
        <f>+EÜR!C17</f>
        <v>ü</v>
      </c>
      <c r="C48" s="194" t="s">
        <v>5</v>
      </c>
      <c r="D48" s="194" t="s">
        <v>5</v>
      </c>
      <c r="E48" s="195" t="s">
        <v>5</v>
      </c>
      <c r="F48" s="196" t="s">
        <v>5</v>
      </c>
      <c r="G48" s="197">
        <f>SUBTOTAL(9,G3:G47)</f>
        <v>0</v>
      </c>
      <c r="H48" s="1242"/>
      <c r="I48" s="1243"/>
      <c r="J48" s="1253">
        <f>G48-H48</f>
        <v>0</v>
      </c>
      <c r="K48" s="1254"/>
      <c r="L48" s="1255"/>
      <c r="M48" s="135" t="s">
        <v>5</v>
      </c>
    </row>
    <row r="49" spans="1:14" ht="12" customHeight="1" thickTop="1" thickBot="1">
      <c r="A49" s="390">
        <f>IF(ISERROR(J47),1,0)</f>
        <v>0</v>
      </c>
      <c r="B49" s="192">
        <f>J48-G49-E49-C49</f>
        <v>0</v>
      </c>
      <c r="C49" s="1239">
        <f>SUMIF(F4:F47,"Kreditkarte",G4:G47)</f>
        <v>0</v>
      </c>
      <c r="D49" s="1239"/>
      <c r="E49" s="1240">
        <f>SUMIF(F4:F47,"Konto",G4:G47)</f>
        <v>0</v>
      </c>
      <c r="F49" s="1240"/>
      <c r="G49" s="1241">
        <f>SUMIF(F4:F47,"Geldbeutel",G4:G47)</f>
        <v>0</v>
      </c>
      <c r="H49" s="1241"/>
      <c r="I49" s="1241"/>
      <c r="J49" s="1256"/>
      <c r="K49" s="1257"/>
      <c r="L49" s="1258"/>
      <c r="M49" s="135" t="s">
        <v>5</v>
      </c>
    </row>
    <row r="50" spans="1:14" s="15" customFormat="1" ht="5.25" customHeight="1" thickTop="1">
      <c r="A50" s="36"/>
      <c r="B50" s="2"/>
      <c r="C50" s="3"/>
      <c r="D50" s="3"/>
      <c r="E50" s="1"/>
      <c r="G50" s="16"/>
      <c r="H50" s="16"/>
      <c r="I50" s="17"/>
      <c r="J50" s="18"/>
      <c r="K50" s="18"/>
      <c r="L50" s="31"/>
      <c r="N50" s="148"/>
    </row>
    <row r="51" spans="1:14">
      <c r="A51" s="36"/>
    </row>
  </sheetData>
  <sheetProtection formatCells="0" insertRows="0" deleteRows="0" selectLockedCells="1" sort="0" autoFilter="0"/>
  <mergeCells count="14">
    <mergeCell ref="AA9:AB9"/>
    <mergeCell ref="O10:Z10"/>
    <mergeCell ref="O11:Z11"/>
    <mergeCell ref="C2:I2"/>
    <mergeCell ref="J2:L2"/>
    <mergeCell ref="AA4:AB4"/>
    <mergeCell ref="H36:I36"/>
    <mergeCell ref="B47:C47"/>
    <mergeCell ref="J48:L49"/>
    <mergeCell ref="C49:D49"/>
    <mergeCell ref="E49:F49"/>
    <mergeCell ref="G49:I49"/>
    <mergeCell ref="H48:I48"/>
    <mergeCell ref="C36:G36"/>
  </mergeCells>
  <conditionalFormatting sqref="A4:A46">
    <cfRule type="expression" dxfId="1509" priority="17">
      <formula>ISERROR(J4)</formula>
    </cfRule>
    <cfRule type="cellIs" dxfId="1508" priority="18" operator="equal">
      <formula>""</formula>
    </cfRule>
  </conditionalFormatting>
  <conditionalFormatting sqref="A47:C47">
    <cfRule type="expression" dxfId="1507" priority="2">
      <formula>$A$48&lt;&gt;0</formula>
    </cfRule>
  </conditionalFormatting>
  <conditionalFormatting sqref="B2">
    <cfRule type="expression" dxfId="1506" priority="31" stopIfTrue="1">
      <formula>$B$48="x"</formula>
    </cfRule>
  </conditionalFormatting>
  <conditionalFormatting sqref="B48">
    <cfRule type="cellIs" dxfId="1505" priority="67" operator="equal">
      <formula>"y"</formula>
    </cfRule>
  </conditionalFormatting>
  <conditionalFormatting sqref="C49:I49">
    <cfRule type="cellIs" dxfId="1503" priority="64" stopIfTrue="1" operator="greaterThanOrEqual">
      <formula>0</formula>
    </cfRule>
    <cfRule type="cellIs" dxfId="1502" priority="66" stopIfTrue="1" operator="lessThan">
      <formula>0</formula>
    </cfRule>
  </conditionalFormatting>
  <conditionalFormatting sqref="D47:J47">
    <cfRule type="expression" dxfId="1501" priority="4">
      <formula>$A$48&lt;&gt;0</formula>
    </cfRule>
  </conditionalFormatting>
  <conditionalFormatting sqref="J48:L48 C49:L49 C48:H48">
    <cfRule type="expression" dxfId="1499" priority="63">
      <formula>$B$48="x"</formula>
    </cfRule>
  </conditionalFormatting>
  <conditionalFormatting sqref="J48:L49">
    <cfRule type="expression" dxfId="1498" priority="62">
      <formula>AND($B$48="x",$J$48&lt;&gt;0)</formula>
    </cfRule>
  </conditionalFormatting>
  <conditionalFormatting sqref="M3">
    <cfRule type="cellIs" dxfId="1497" priority="26" operator="equal">
      <formula>""</formula>
    </cfRule>
  </conditionalFormatting>
  <conditionalFormatting sqref="M4:M46">
    <cfRule type="expression" dxfId="1496" priority="24">
      <formula>ISERROR(J4)</formula>
    </cfRule>
    <cfRule type="cellIs" dxfId="1495" priority="25" operator="equal">
      <formula>""</formula>
    </cfRule>
  </conditionalFormatting>
  <conditionalFormatting sqref="M47">
    <cfRule type="expression" dxfId="1494" priority="3">
      <formula>$A$48&lt;&gt;0</formula>
    </cfRule>
  </conditionalFormatting>
  <conditionalFormatting sqref="M47:M49">
    <cfRule type="cellIs" dxfId="1493" priority="6" operator="equal">
      <formula>""</formula>
    </cfRule>
  </conditionalFormatting>
  <conditionalFormatting sqref="N10:AB10 O11:AB49">
    <cfRule type="expression" dxfId="1492" priority="29">
      <formula>$N$2=0</formula>
    </cfRule>
  </conditionalFormatting>
  <conditionalFormatting sqref="O11:Z11">
    <cfRule type="cellIs" dxfId="1491" priority="48" operator="equal">
      <formula>"Fehler!"</formula>
    </cfRule>
  </conditionalFormatting>
  <conditionalFormatting sqref="O4:AA4">
    <cfRule type="expression" dxfId="1490" priority="30">
      <formula>$N$2=0</formula>
    </cfRule>
  </conditionalFormatting>
  <conditionalFormatting sqref="O2:AB3">
    <cfRule type="expression" dxfId="1488" priority="1">
      <formula>$N$2=0</formula>
    </cfRule>
  </conditionalFormatting>
  <conditionalFormatting sqref="O5:AB8 O9:AA9">
    <cfRule type="expression" dxfId="1487" priority="47">
      <formula>$N$2=0</formula>
    </cfRule>
  </conditionalFormatting>
  <dataValidations count="1">
    <dataValidation type="list" allowBlank="1" showInputMessage="1" showErrorMessage="1" sqref="F37:F46" xr:uid="{876BF7A1-E9AA-4C24-A1C3-839C234D735E}">
      <formula1>"Konto,Geldbeutel,Kreditkarte,x"</formula1>
    </dataValidation>
  </dataValidations>
  <hyperlinks>
    <hyperlink ref="J2" location="'2022 EÜR'!A1" display="Menü" xr:uid="{9185F9C1-6D9A-44F1-B081-770426583879}"/>
    <hyperlink ref="J2:L2" location="EÜR!A1" display="EÜR" xr:uid="{8F3E0C2D-2CD3-4457-9A1B-770E5392FB14}"/>
  </hyperlinks>
  <printOptions horizontalCentered="1"/>
  <pageMargins left="0" right="0" top="0" bottom="0.31496062992125984" header="0" footer="0"/>
  <pageSetup paperSize="9" orientation="portrait" horizontalDpi="4294967295" verticalDpi="4294967295" r:id="rId1"/>
  <headerFooter>
    <oddFooter>&amp;L&amp;"Arial,Standard"&amp;8Datei: &amp;Z&amp;F/&amp;A&amp;C&amp;"Arial,Standard"&amp;8Seite &amp;P von &amp;N&amp;R&amp;"Arial,Standard"&amp;8Druck: &amp;D&amp;T Uhr</oddFooter>
  </headerFooter>
  <extLst>
    <ext xmlns:x14="http://schemas.microsoft.com/office/spreadsheetml/2009/9/main" uri="{78C0D931-6437-407d-A8EE-F0AAD7539E65}">
      <x14:conditionalFormattings>
        <x14:conditionalFormatting xmlns:xm="http://schemas.microsoft.com/office/excel/2006/main">
          <x14:cfRule type="expression" priority="17674" id="{DC858607-1ECA-4D05-A1EE-7D859F918689}">
            <xm:f>OR($B$48="x",EÜR!$J$66="-")</xm:f>
            <x14:dxf>
              <font>
                <b/>
                <i val="0"/>
                <color theme="0" tint="-0.24994659260841701"/>
              </font>
              <fill>
                <patternFill>
                  <bgColor theme="0" tint="-0.499984740745262"/>
                </patternFill>
              </fill>
            </x14:dxf>
          </x14:cfRule>
          <xm:sqref>B3:J35 B36:C36 H36:J36 B37:J46</xm:sqref>
        </x14:conditionalFormatting>
        <x14:conditionalFormatting xmlns:xm="http://schemas.microsoft.com/office/excel/2006/main">
          <x14:cfRule type="expression" priority="45" id="{47DE3105-A3F8-4268-860A-094B074FB554}">
            <xm:f>AND(EÜR!$J$66&lt;&gt;"ü",$H$48&lt;&gt;0)</xm:f>
            <x14:dxf>
              <font>
                <b/>
                <i val="0"/>
                <color rgb="FFFFFF00"/>
              </font>
              <fill>
                <patternFill>
                  <bgColor rgb="FFFF0000"/>
                </patternFill>
              </fill>
            </x14:dxf>
          </x14:cfRule>
          <xm:sqref>H48:I48</xm:sqref>
        </x14:conditionalFormatting>
        <x14:conditionalFormatting xmlns:xm="http://schemas.microsoft.com/office/excel/2006/main">
          <x14:cfRule type="expression" priority="41" id="{F2FC70EB-F647-4467-BD20-05A02EB49F31}">
            <xm:f>EÜR!$J$66="-"</xm:f>
            <x14:dxf>
              <font>
                <b/>
                <i val="0"/>
                <color theme="0"/>
              </font>
              <fill>
                <patternFill>
                  <bgColor theme="0"/>
                </patternFill>
              </fill>
              <border>
                <left/>
                <right/>
                <top/>
                <bottom/>
              </border>
            </x14:dxf>
          </x14:cfRule>
          <xm:sqref>O12:AA14</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51</vt:i4>
      </vt:variant>
      <vt:variant>
        <vt:lpstr>Benannte Bereiche</vt:lpstr>
      </vt:variant>
      <vt:variant>
        <vt:i4>138</vt:i4>
      </vt:variant>
    </vt:vector>
  </HeadingPairs>
  <TitlesOfParts>
    <vt:vector size="189" baseType="lpstr">
      <vt:lpstr>EÜR</vt:lpstr>
      <vt:lpstr>E01</vt:lpstr>
      <vt:lpstr>E02</vt:lpstr>
      <vt:lpstr>E03</vt:lpstr>
      <vt:lpstr>E04</vt:lpstr>
      <vt:lpstr>E05</vt:lpstr>
      <vt:lpstr>U06</vt:lpstr>
      <vt:lpstr>U07</vt:lpstr>
      <vt:lpstr>U08</vt:lpstr>
      <vt:lpstr>U09</vt:lpstr>
      <vt:lpstr>O10</vt:lpstr>
      <vt:lpstr>O11</vt:lpstr>
      <vt:lpstr>O12</vt:lpstr>
      <vt:lpstr>A01</vt:lpstr>
      <vt:lpstr>A02</vt:lpstr>
      <vt:lpstr>A03</vt:lpstr>
      <vt:lpstr>A04</vt:lpstr>
      <vt:lpstr>A05</vt:lpstr>
      <vt:lpstr>A06</vt:lpstr>
      <vt:lpstr>A07</vt:lpstr>
      <vt:lpstr>A08</vt:lpstr>
      <vt:lpstr>A09</vt:lpstr>
      <vt:lpstr>A10</vt:lpstr>
      <vt:lpstr>A11</vt:lpstr>
      <vt:lpstr>A12</vt:lpstr>
      <vt:lpstr>A13</vt:lpstr>
      <vt:lpstr>A14</vt:lpstr>
      <vt:lpstr>A15</vt:lpstr>
      <vt:lpstr>A16</vt:lpstr>
      <vt:lpstr>A17</vt:lpstr>
      <vt:lpstr>A18</vt:lpstr>
      <vt:lpstr>A19</vt:lpstr>
      <vt:lpstr>A20</vt:lpstr>
      <vt:lpstr>A21</vt:lpstr>
      <vt:lpstr>A22</vt:lpstr>
      <vt:lpstr>A23</vt:lpstr>
      <vt:lpstr>A24</vt:lpstr>
      <vt:lpstr>A25</vt:lpstr>
      <vt:lpstr>A26</vt:lpstr>
      <vt:lpstr>A27</vt:lpstr>
      <vt:lpstr>A28</vt:lpstr>
      <vt:lpstr>A29</vt:lpstr>
      <vt:lpstr>A30</vt:lpstr>
      <vt:lpstr>A31</vt:lpstr>
      <vt:lpstr>K</vt:lpstr>
      <vt:lpstr>E</vt:lpstr>
      <vt:lpstr>O</vt:lpstr>
      <vt:lpstr>U</vt:lpstr>
      <vt:lpstr>Legende 1</vt:lpstr>
      <vt:lpstr>Legende 2</vt:lpstr>
      <vt:lpstr>Legende 3</vt:lpstr>
      <vt:lpstr>'A01'!Druckbereich</vt:lpstr>
      <vt:lpstr>'A02'!Druckbereich</vt:lpstr>
      <vt:lpstr>'A03'!Druckbereich</vt:lpstr>
      <vt:lpstr>'A04'!Druckbereich</vt:lpstr>
      <vt:lpstr>'A05'!Druckbereich</vt:lpstr>
      <vt:lpstr>'A06'!Druckbereich</vt:lpstr>
      <vt:lpstr>'A07'!Druckbereich</vt:lpstr>
      <vt:lpstr>'A08'!Druckbereich</vt:lpstr>
      <vt:lpstr>'A09'!Druckbereich</vt:lpstr>
      <vt:lpstr>'A10'!Druckbereich</vt:lpstr>
      <vt:lpstr>'A11'!Druckbereich</vt:lpstr>
      <vt:lpstr>'A12'!Druckbereich</vt:lpstr>
      <vt:lpstr>'A13'!Druckbereich</vt:lpstr>
      <vt:lpstr>'A14'!Druckbereich</vt:lpstr>
      <vt:lpstr>'A15'!Druckbereich</vt:lpstr>
      <vt:lpstr>'A16'!Druckbereich</vt:lpstr>
      <vt:lpstr>'A17'!Druckbereich</vt:lpstr>
      <vt:lpstr>'A18'!Druckbereich</vt:lpstr>
      <vt:lpstr>'A19'!Druckbereich</vt:lpstr>
      <vt:lpstr>'A20'!Druckbereich</vt:lpstr>
      <vt:lpstr>'A21'!Druckbereich</vt:lpstr>
      <vt:lpstr>'A22'!Druckbereich</vt:lpstr>
      <vt:lpstr>'A23'!Druckbereich</vt:lpstr>
      <vt:lpstr>'A24'!Druckbereich</vt:lpstr>
      <vt:lpstr>'A25'!Druckbereich</vt:lpstr>
      <vt:lpstr>'A26'!Druckbereich</vt:lpstr>
      <vt:lpstr>'A27'!Druckbereich</vt:lpstr>
      <vt:lpstr>'A28'!Druckbereich</vt:lpstr>
      <vt:lpstr>'A29'!Druckbereich</vt:lpstr>
      <vt:lpstr>'A30'!Druckbereich</vt:lpstr>
      <vt:lpstr>'A31'!Druckbereich</vt:lpstr>
      <vt:lpstr>E!Druckbereich</vt:lpstr>
      <vt:lpstr>'E01'!Druckbereich</vt:lpstr>
      <vt:lpstr>'E02'!Druckbereich</vt:lpstr>
      <vt:lpstr>'E03'!Druckbereich</vt:lpstr>
      <vt:lpstr>'E04'!Druckbereich</vt:lpstr>
      <vt:lpstr>'E05'!Druckbereich</vt:lpstr>
      <vt:lpstr>EÜR!Druckbereich</vt:lpstr>
      <vt:lpstr>K!Druckbereich</vt:lpstr>
      <vt:lpstr>'O10'!Druckbereich</vt:lpstr>
      <vt:lpstr>'O11'!Druckbereich</vt:lpstr>
      <vt:lpstr>'O12'!Druckbereich</vt:lpstr>
      <vt:lpstr>'U06'!Druckbereich</vt:lpstr>
      <vt:lpstr>'U07'!Druckbereich</vt:lpstr>
      <vt:lpstr>'U08'!Druckbereich</vt:lpstr>
      <vt:lpstr>'U09'!Druckbereich</vt:lpstr>
      <vt:lpstr>'A01'!Drucktitel</vt:lpstr>
      <vt:lpstr>'A02'!Drucktitel</vt:lpstr>
      <vt:lpstr>'A03'!Drucktitel</vt:lpstr>
      <vt:lpstr>'A04'!Drucktitel</vt:lpstr>
      <vt:lpstr>'A05'!Drucktitel</vt:lpstr>
      <vt:lpstr>'A06'!Drucktitel</vt:lpstr>
      <vt:lpstr>'A07'!Drucktitel</vt:lpstr>
      <vt:lpstr>'A08'!Drucktitel</vt:lpstr>
      <vt:lpstr>'A09'!Drucktitel</vt:lpstr>
      <vt:lpstr>'A10'!Drucktitel</vt:lpstr>
      <vt:lpstr>'A11'!Drucktitel</vt:lpstr>
      <vt:lpstr>'A12'!Drucktitel</vt:lpstr>
      <vt:lpstr>'A13'!Drucktitel</vt:lpstr>
      <vt:lpstr>'A14'!Drucktitel</vt:lpstr>
      <vt:lpstr>'A15'!Drucktitel</vt:lpstr>
      <vt:lpstr>'A16'!Drucktitel</vt:lpstr>
      <vt:lpstr>'A17'!Drucktitel</vt:lpstr>
      <vt:lpstr>'A18'!Drucktitel</vt:lpstr>
      <vt:lpstr>'A19'!Drucktitel</vt:lpstr>
      <vt:lpstr>'A20'!Drucktitel</vt:lpstr>
      <vt:lpstr>'A21'!Drucktitel</vt:lpstr>
      <vt:lpstr>'A22'!Drucktitel</vt:lpstr>
      <vt:lpstr>'A23'!Drucktitel</vt:lpstr>
      <vt:lpstr>'A24'!Drucktitel</vt:lpstr>
      <vt:lpstr>'A25'!Drucktitel</vt:lpstr>
      <vt:lpstr>'A26'!Drucktitel</vt:lpstr>
      <vt:lpstr>'A27'!Drucktitel</vt:lpstr>
      <vt:lpstr>'A28'!Drucktitel</vt:lpstr>
      <vt:lpstr>'A29'!Drucktitel</vt:lpstr>
      <vt:lpstr>'A30'!Drucktitel</vt:lpstr>
      <vt:lpstr>'A31'!Drucktitel</vt:lpstr>
      <vt:lpstr>E!Drucktitel</vt:lpstr>
      <vt:lpstr>'E01'!Drucktitel</vt:lpstr>
      <vt:lpstr>'E02'!Drucktitel</vt:lpstr>
      <vt:lpstr>'E03'!Drucktitel</vt:lpstr>
      <vt:lpstr>'E04'!Drucktitel</vt:lpstr>
      <vt:lpstr>'E05'!Drucktitel</vt:lpstr>
      <vt:lpstr>EÜR!Drucktitel</vt:lpstr>
      <vt:lpstr>K!Drucktitel</vt:lpstr>
      <vt:lpstr>'O10'!Drucktitel</vt:lpstr>
      <vt:lpstr>'O11'!Drucktitel</vt:lpstr>
      <vt:lpstr>'O12'!Drucktitel</vt:lpstr>
      <vt:lpstr>U!Drucktitel</vt:lpstr>
      <vt:lpstr>'U06'!Drucktitel</vt:lpstr>
      <vt:lpstr>'U07'!Drucktitel</vt:lpstr>
      <vt:lpstr>'U08'!Drucktitel</vt:lpstr>
      <vt:lpstr>'U09'!Drucktitel</vt:lpstr>
      <vt:lpstr>'A01'!Print_Titles</vt:lpstr>
      <vt:lpstr>'A02'!Print_Titles</vt:lpstr>
      <vt:lpstr>'A03'!Print_Titles</vt:lpstr>
      <vt:lpstr>'A04'!Print_Titles</vt:lpstr>
      <vt:lpstr>'A05'!Print_Titles</vt:lpstr>
      <vt:lpstr>'A06'!Print_Titles</vt:lpstr>
      <vt:lpstr>'A07'!Print_Titles</vt:lpstr>
      <vt:lpstr>'A08'!Print_Titles</vt:lpstr>
      <vt:lpstr>'A09'!Print_Titles</vt:lpstr>
      <vt:lpstr>'A10'!Print_Titles</vt:lpstr>
      <vt:lpstr>'A11'!Print_Titles</vt:lpstr>
      <vt:lpstr>'A12'!Print_Titles</vt:lpstr>
      <vt:lpstr>'A13'!Print_Titles</vt:lpstr>
      <vt:lpstr>'A14'!Print_Titles</vt:lpstr>
      <vt:lpstr>'A15'!Print_Titles</vt:lpstr>
      <vt:lpstr>'A16'!Print_Titles</vt:lpstr>
      <vt:lpstr>'A17'!Print_Titles</vt:lpstr>
      <vt:lpstr>'A18'!Print_Titles</vt:lpstr>
      <vt:lpstr>'A19'!Print_Titles</vt:lpstr>
      <vt:lpstr>'A20'!Print_Titles</vt:lpstr>
      <vt:lpstr>'A21'!Print_Titles</vt:lpstr>
      <vt:lpstr>'A22'!Print_Titles</vt:lpstr>
      <vt:lpstr>'A23'!Print_Titles</vt:lpstr>
      <vt:lpstr>'A24'!Print_Titles</vt:lpstr>
      <vt:lpstr>'A25'!Print_Titles</vt:lpstr>
      <vt:lpstr>'A26'!Print_Titles</vt:lpstr>
      <vt:lpstr>'A27'!Print_Titles</vt:lpstr>
      <vt:lpstr>'A28'!Print_Titles</vt:lpstr>
      <vt:lpstr>'A29'!Print_Titles</vt:lpstr>
      <vt:lpstr>'A30'!Print_Titles</vt:lpstr>
      <vt:lpstr>'A31'!Print_Titles</vt:lpstr>
      <vt:lpstr>E!Print_Titles</vt:lpstr>
      <vt:lpstr>'E01'!Print_Titles</vt:lpstr>
      <vt:lpstr>'E02'!Print_Titles</vt:lpstr>
      <vt:lpstr>'E03'!Print_Titles</vt:lpstr>
      <vt:lpstr>'E04'!Print_Titles</vt:lpstr>
      <vt:lpstr>'E05'!Print_Titles</vt:lpstr>
      <vt:lpstr>K!Print_Titles</vt:lpstr>
      <vt:lpstr>'O10'!Print_Titles</vt:lpstr>
      <vt:lpstr>'O11'!Print_Titles</vt:lpstr>
      <vt:lpstr>'O12'!Print_Titles</vt:lpstr>
      <vt:lpstr>'U06'!Print_Titles</vt:lpstr>
      <vt:lpstr>'U07'!Print_Titles</vt:lpstr>
      <vt:lpstr>'U08'!Print_Titles</vt:lpstr>
      <vt:lpstr>'U09'!Print_Titles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EÜR zur Einkommensteuererklärung</dc:title>
  <dc:subject>€FLUX</dc:subject>
  <dc:creator>© Bernd Stampp 2026</dc:creator>
  <cp:lastModifiedBy>Bernd Stampp</cp:lastModifiedBy>
  <cp:lastPrinted>2026-02-01T16:37:01Z</cp:lastPrinted>
  <dcterms:created xsi:type="dcterms:W3CDTF">1997-11-30T15:37:49Z</dcterms:created>
  <dcterms:modified xsi:type="dcterms:W3CDTF">2026-03-15T07:35:48Z</dcterms:modified>
</cp:coreProperties>
</file>