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defaultThemeVersion="124226"/>
  <mc:AlternateContent xmlns:mc="http://schemas.openxmlformats.org/markup-compatibility/2006">
    <mc:Choice Requires="x15">
      <x15ac:absPath xmlns:x15ac="http://schemas.microsoft.com/office/spreadsheetml/2010/11/ac" url="H:\Bernd-Stampp\Dateien-Flux\"/>
    </mc:Choice>
  </mc:AlternateContent>
  <xr:revisionPtr revIDLastSave="0" documentId="13_ncr:1_{2B0A49A7-DB58-44CE-9852-BB60E7D48533}" xr6:coauthVersionLast="47" xr6:coauthVersionMax="47" xr10:uidLastSave="{00000000-0000-0000-0000-000000000000}"/>
  <bookViews>
    <workbookView xWindow="-98" yWindow="-98" windowWidth="28996" windowHeight="15675" tabRatio="960" xr2:uid="{00000000-000D-0000-FFFF-FFFF00000000}"/>
  </bookViews>
  <sheets>
    <sheet name="Depot" sheetId="17" r:id="rId1"/>
    <sheet name="Legende" sheetId="19" r:id="rId2"/>
  </sheets>
  <definedNames>
    <definedName name="_xlnm._FilterDatabase" localSheetId="0" hidden="1">Depot!$B$13:$T$55</definedName>
    <definedName name="_xlnm.Print_Area" localSheetId="0">Depot!$C$2:$AZ$55</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17" l="1"/>
  <c r="N29" i="17" s="1"/>
  <c r="D29" i="17"/>
  <c r="L29" i="17"/>
  <c r="M29" i="17"/>
  <c r="R29" i="17"/>
  <c r="S29" i="17"/>
  <c r="U29" i="17"/>
  <c r="AA29" i="17"/>
  <c r="AB29" i="17"/>
  <c r="AD29" i="17"/>
  <c r="AT29" i="17"/>
  <c r="B30" i="17"/>
  <c r="D30" i="17"/>
  <c r="R30" i="17"/>
  <c r="S30" i="17"/>
  <c r="U30" i="17"/>
  <c r="AA30" i="17"/>
  <c r="AB30" i="17"/>
  <c r="AD30" i="17"/>
  <c r="AT30" i="17"/>
  <c r="B31" i="17"/>
  <c r="G31" i="17" s="1"/>
  <c r="D31" i="17"/>
  <c r="R31" i="17"/>
  <c r="S31" i="17"/>
  <c r="U31" i="17"/>
  <c r="AA31" i="17"/>
  <c r="AB31" i="17"/>
  <c r="AD31" i="17"/>
  <c r="AT31" i="17"/>
  <c r="AY31" i="17" l="1"/>
  <c r="AY30" i="17"/>
  <c r="AY29" i="17"/>
  <c r="K29" i="17"/>
  <c r="J29" i="17"/>
  <c r="I29" i="17"/>
  <c r="H29" i="17"/>
  <c r="G29" i="17"/>
  <c r="N30" i="17"/>
  <c r="N31" i="17"/>
  <c r="M30" i="17"/>
  <c r="M31" i="17"/>
  <c r="L30" i="17"/>
  <c r="L31" i="17"/>
  <c r="K30" i="17"/>
  <c r="K31" i="17"/>
  <c r="J30" i="17"/>
  <c r="J31" i="17"/>
  <c r="I30" i="17"/>
  <c r="I31" i="17"/>
  <c r="H30" i="17"/>
  <c r="H31" i="17"/>
  <c r="G30" i="17"/>
  <c r="B46" i="17" l="1"/>
  <c r="B25" i="17"/>
  <c r="B28" i="17"/>
  <c r="B32" i="17"/>
  <c r="B14" i="17"/>
  <c r="G83" i="19" l="1"/>
  <c r="M28" i="17"/>
  <c r="M14" i="17"/>
  <c r="AA15" i="17"/>
  <c r="AA16" i="17"/>
  <c r="AA17" i="17"/>
  <c r="AA18" i="17"/>
  <c r="AA19" i="17"/>
  <c r="AA20" i="17"/>
  <c r="AA21" i="17"/>
  <c r="AA22" i="17"/>
  <c r="AA23" i="17"/>
  <c r="AA24" i="17"/>
  <c r="AA25" i="17"/>
  <c r="AA26" i="17"/>
  <c r="AA27" i="17"/>
  <c r="AA28" i="17"/>
  <c r="AA14" i="17"/>
  <c r="P51" i="17"/>
  <c r="AQ6" i="17"/>
  <c r="D16" i="17"/>
  <c r="D17" i="17"/>
  <c r="D18" i="17"/>
  <c r="D19" i="17"/>
  <c r="D20" i="17"/>
  <c r="D21" i="17"/>
  <c r="D22" i="17"/>
  <c r="D23" i="17"/>
  <c r="D24" i="17"/>
  <c r="D25" i="17"/>
  <c r="D26" i="17"/>
  <c r="D27" i="17"/>
  <c r="D28" i="17"/>
  <c r="D15" i="17"/>
  <c r="D14" i="17"/>
  <c r="AV6" i="17"/>
  <c r="AV26" i="17" s="1"/>
  <c r="AE6" i="17"/>
  <c r="M33" i="17"/>
  <c r="M34" i="17"/>
  <c r="M52" i="17"/>
  <c r="M51" i="17"/>
  <c r="M50" i="17"/>
  <c r="M49" i="17"/>
  <c r="Q52" i="17"/>
  <c r="C83" i="19"/>
  <c r="C76" i="19"/>
  <c r="C68" i="19"/>
  <c r="C58" i="19"/>
  <c r="T57" i="19"/>
  <c r="Q57" i="19"/>
  <c r="C57" i="19"/>
  <c r="T52" i="19"/>
  <c r="T80" i="19" s="1"/>
  <c r="G80" i="19" s="1"/>
  <c r="F80" i="19" s="1"/>
  <c r="S52" i="19"/>
  <c r="S80" i="19" s="1"/>
  <c r="R38" i="19"/>
  <c r="N38" i="19"/>
  <c r="O38" i="19" s="1"/>
  <c r="K38" i="19"/>
  <c r="I38" i="19"/>
  <c r="H38" i="19"/>
  <c r="C38" i="19"/>
  <c r="N23" i="19"/>
  <c r="I22" i="19"/>
  <c r="C22" i="19"/>
  <c r="C21" i="19"/>
  <c r="H20" i="19"/>
  <c r="C20" i="19"/>
  <c r="C19" i="19"/>
  <c r="C18" i="19"/>
  <c r="C17" i="19"/>
  <c r="AE30" i="17" l="1"/>
  <c r="AF30" i="17"/>
  <c r="AF29" i="17"/>
  <c r="AC31" i="17"/>
  <c r="AF31" i="17"/>
  <c r="AE29" i="17"/>
  <c r="AE31" i="17"/>
  <c r="AC30" i="17"/>
  <c r="AC29" i="17"/>
  <c r="G52" i="19"/>
  <c r="F52" i="19" s="1"/>
  <c r="AV14" i="17"/>
  <c r="AV17" i="17"/>
  <c r="AV18" i="17"/>
  <c r="AV19" i="17"/>
  <c r="AV23" i="17"/>
  <c r="AV27" i="17"/>
  <c r="AV25" i="17"/>
  <c r="AV24" i="17"/>
  <c r="AV22" i="17"/>
  <c r="AV21" i="17"/>
  <c r="AV20" i="17"/>
  <c r="AW14" i="17"/>
  <c r="AW17" i="17"/>
  <c r="AW18" i="17"/>
  <c r="AW22" i="17"/>
  <c r="AW19" i="17"/>
  <c r="AW20" i="17"/>
  <c r="AW21" i="17"/>
  <c r="AW23" i="17"/>
  <c r="AW24" i="17"/>
  <c r="AW25" i="17"/>
  <c r="AW26" i="17"/>
  <c r="AW27" i="17"/>
  <c r="E13" i="17" a="1"/>
  <c r="E13" i="17" s="1"/>
  <c r="M25" i="17"/>
  <c r="Q38" i="19"/>
  <c r="J52" i="19"/>
  <c r="L52" i="19"/>
  <c r="K52" i="19" s="1"/>
  <c r="L80" i="19" s="1"/>
  <c r="J80" i="19" l="1"/>
  <c r="K80" i="19" s="1"/>
  <c r="L52" i="17" l="1"/>
  <c r="L51" i="17"/>
  <c r="L50" i="17"/>
  <c r="L49" i="17"/>
  <c r="L25" i="17"/>
  <c r="L28" i="17"/>
  <c r="L14" i="17"/>
  <c r="AE46" i="17"/>
  <c r="AB46" i="17" l="1"/>
  <c r="AC46" i="17"/>
  <c r="AC25" i="17"/>
  <c r="AC28" i="17"/>
  <c r="AC14" i="17"/>
  <c r="AI14" i="17"/>
  <c r="AK17" i="17"/>
  <c r="AB17" i="17" s="1"/>
  <c r="AK14" i="17"/>
  <c r="AB14" i="17" s="1"/>
  <c r="AK18" i="17"/>
  <c r="AB18" i="17" s="1"/>
  <c r="AK19" i="17"/>
  <c r="AB19" i="17" s="1"/>
  <c r="AK20" i="17"/>
  <c r="AB20" i="17" s="1"/>
  <c r="AK21" i="17"/>
  <c r="AB21" i="17" s="1"/>
  <c r="AK22" i="17"/>
  <c r="AB22" i="17" s="1"/>
  <c r="AK23" i="17"/>
  <c r="AB23" i="17" s="1"/>
  <c r="AK24" i="17"/>
  <c r="AB24" i="17" s="1"/>
  <c r="AK25" i="17"/>
  <c r="AB25" i="17" s="1"/>
  <c r="AK26" i="17"/>
  <c r="AB26" i="17" s="1"/>
  <c r="AK27" i="17"/>
  <c r="AB27" i="17" s="1"/>
  <c r="Y40" i="17"/>
  <c r="Y41" i="17"/>
  <c r="Y42" i="17"/>
  <c r="Y43" i="17"/>
  <c r="Y44" i="17"/>
  <c r="Y45" i="17"/>
  <c r="Y46" i="17"/>
  <c r="Y39" i="17"/>
  <c r="B10" i="17"/>
  <c r="P10" i="17" s="1"/>
  <c r="Z39" i="17"/>
  <c r="Z40" i="17"/>
  <c r="Z41" i="17"/>
  <c r="Z42" i="17"/>
  <c r="Z43" i="17"/>
  <c r="Z44" i="17"/>
  <c r="Z45" i="17"/>
  <c r="Z46" i="17"/>
  <c r="AD15" i="17"/>
  <c r="AD16" i="17"/>
  <c r="AD17" i="17"/>
  <c r="AD18" i="17"/>
  <c r="AD19" i="17"/>
  <c r="AD20" i="17"/>
  <c r="AD21" i="17"/>
  <c r="AD22" i="17"/>
  <c r="AD23" i="17"/>
  <c r="AD24" i="17"/>
  <c r="AD25" i="17"/>
  <c r="AD26" i="17"/>
  <c r="AD27" i="17"/>
  <c r="AD28" i="17"/>
  <c r="AD14" i="17"/>
  <c r="Y31" i="17" l="1"/>
  <c r="Z29" i="17"/>
  <c r="Z30" i="17"/>
  <c r="Y29" i="17"/>
  <c r="Y30" i="17"/>
  <c r="Z31" i="17"/>
  <c r="AC36" i="17"/>
  <c r="M6" i="17" s="1"/>
  <c r="Z28" i="17"/>
  <c r="Z14" i="17"/>
  <c r="Z25" i="17"/>
  <c r="AC6" i="17"/>
  <c r="Y16" i="17"/>
  <c r="Y17" i="17"/>
  <c r="Y18" i="17"/>
  <c r="Y19" i="17"/>
  <c r="Y20" i="17"/>
  <c r="Y21" i="17"/>
  <c r="Y22" i="17"/>
  <c r="Y23" i="17"/>
  <c r="Y24" i="17"/>
  <c r="Y25" i="17"/>
  <c r="Y26" i="17"/>
  <c r="Y27" i="17"/>
  <c r="Y28" i="17"/>
  <c r="Y14" i="17"/>
  <c r="Y15" i="17"/>
  <c r="S10" i="17"/>
  <c r="AC10" i="17"/>
  <c r="AT33" i="17"/>
  <c r="AT28" i="17"/>
  <c r="AT27" i="17"/>
  <c r="AT26" i="17"/>
  <c r="AT25" i="17"/>
  <c r="AT24" i="17"/>
  <c r="AT23" i="17"/>
  <c r="AT22" i="17"/>
  <c r="AT21" i="17"/>
  <c r="AT20" i="17"/>
  <c r="AT19" i="17"/>
  <c r="AT18" i="17"/>
  <c r="AT17" i="17"/>
  <c r="AT16" i="17"/>
  <c r="AT15" i="17"/>
  <c r="AT14" i="17"/>
  <c r="M36" i="17" l="1"/>
  <c r="M37" i="17"/>
  <c r="M35" i="17"/>
  <c r="M38" i="17"/>
  <c r="G49" i="17"/>
  <c r="H49" i="17"/>
  <c r="I49" i="17"/>
  <c r="J49" i="17"/>
  <c r="K49" i="17"/>
  <c r="N49" i="17"/>
  <c r="G50" i="17"/>
  <c r="H50" i="17"/>
  <c r="I50" i="17"/>
  <c r="J50" i="17"/>
  <c r="K50" i="17"/>
  <c r="N50" i="17"/>
  <c r="G51" i="17"/>
  <c r="H51" i="17"/>
  <c r="I51" i="17"/>
  <c r="J51" i="17"/>
  <c r="K51" i="17"/>
  <c r="N51" i="17"/>
  <c r="G52" i="17"/>
  <c r="H52" i="17"/>
  <c r="I52" i="17"/>
  <c r="J52" i="17"/>
  <c r="K52" i="17"/>
  <c r="N52" i="17"/>
  <c r="S46" i="17" l="1"/>
  <c r="R46" i="17"/>
  <c r="AG6" i="17"/>
  <c r="AJ13" i="17" l="1"/>
  <c r="AJ14" i="17" s="1"/>
  <c r="AK13" i="17"/>
  <c r="O46" i="17"/>
  <c r="T46" i="17"/>
  <c r="V46" i="17"/>
  <c r="W46" i="17"/>
  <c r="R18" i="17"/>
  <c r="O45" i="17"/>
  <c r="T45" i="17"/>
  <c r="V45" i="17"/>
  <c r="W45" i="17"/>
  <c r="AH46" i="17" l="1"/>
  <c r="AI46" i="17"/>
  <c r="AI45" i="17"/>
  <c r="AH45" i="17"/>
  <c r="AE45" i="17"/>
  <c r="AY46" i="17"/>
  <c r="AF46" i="17"/>
  <c r="AF45" i="17"/>
  <c r="AM6" i="17"/>
  <c r="AP6" i="17"/>
  <c r="S45" i="17"/>
  <c r="R45" i="17"/>
  <c r="AY45" i="17" s="1"/>
  <c r="P45" i="17"/>
  <c r="AS45" i="17"/>
  <c r="AP46" i="17"/>
  <c r="AS46" i="17"/>
  <c r="AE16" i="17"/>
  <c r="AE24" i="17"/>
  <c r="AF17" i="17"/>
  <c r="AF25" i="17"/>
  <c r="AE18" i="17"/>
  <c r="AE26" i="17"/>
  <c r="AF18" i="17"/>
  <c r="AF26" i="17"/>
  <c r="AF20" i="17"/>
  <c r="AF28" i="17"/>
  <c r="AE21" i="17"/>
  <c r="AF16" i="17"/>
  <c r="AE17" i="17"/>
  <c r="AE19" i="17"/>
  <c r="AF19" i="17"/>
  <c r="AE20" i="17"/>
  <c r="AF21" i="17"/>
  <c r="AE23" i="17"/>
  <c r="AE22" i="17"/>
  <c r="AF22" i="17"/>
  <c r="AF23" i="17"/>
  <c r="AF24" i="17"/>
  <c r="AE27" i="17"/>
  <c r="AF27" i="17"/>
  <c r="AE28" i="17"/>
  <c r="AE25" i="17"/>
  <c r="AE14" i="17"/>
  <c r="AF14" i="17"/>
  <c r="AF15" i="17"/>
  <c r="AE15" i="17"/>
  <c r="D46" i="17"/>
  <c r="D45" i="17"/>
  <c r="P46" i="17"/>
  <c r="AQ46" i="17"/>
  <c r="AP45" i="17"/>
  <c r="AQ45" i="17"/>
  <c r="B45" i="17" l="1"/>
  <c r="AB45" i="17"/>
  <c r="AC45" i="17"/>
  <c r="AR6" i="17"/>
  <c r="AU13" i="17" s="1"/>
  <c r="AM14" i="17"/>
  <c r="AM19" i="17"/>
  <c r="AM17" i="17"/>
  <c r="AM27" i="17"/>
  <c r="AM25" i="17"/>
  <c r="AM22" i="17"/>
  <c r="AM23" i="17"/>
  <c r="AM21" i="17"/>
  <c r="AM24" i="17"/>
  <c r="AM26" i="17"/>
  <c r="AM18" i="17"/>
  <c r="AM20" i="17"/>
  <c r="AE13" i="17"/>
  <c r="AF13" i="17"/>
  <c r="AH13" i="17" s="1"/>
  <c r="AH14" i="17" s="1"/>
  <c r="AH15" i="17" s="1"/>
  <c r="AG14" i="17"/>
  <c r="AG15" i="17" s="1"/>
  <c r="AG16" i="17" s="1"/>
  <c r="AG17" i="17" s="1"/>
  <c r="AG18" i="17" s="1"/>
  <c r="AG19" i="17" s="1"/>
  <c r="AG20" i="17" s="1"/>
  <c r="AG21" i="17" s="1"/>
  <c r="AG22" i="17" s="1"/>
  <c r="AG23" i="17" s="1"/>
  <c r="AG24" i="17" s="1"/>
  <c r="AG25" i="17" s="1"/>
  <c r="AG26" i="17" s="1"/>
  <c r="AG27" i="17" s="1"/>
  <c r="AG28" i="17" s="1"/>
  <c r="AG29" i="17" s="1"/>
  <c r="AG30" i="17" s="1"/>
  <c r="AG31" i="17" s="1"/>
  <c r="H14" i="17"/>
  <c r="K14" i="17"/>
  <c r="I14" i="17"/>
  <c r="J14" i="17"/>
  <c r="G14" i="17"/>
  <c r="N14" i="17"/>
  <c r="K28" i="17"/>
  <c r="G28" i="17"/>
  <c r="I28" i="17"/>
  <c r="J28" i="17"/>
  <c r="N28" i="17"/>
  <c r="H28" i="17"/>
  <c r="H25" i="17"/>
  <c r="J25" i="17"/>
  <c r="K25" i="17"/>
  <c r="N25" i="17"/>
  <c r="G25" i="17"/>
  <c r="I25" i="17"/>
  <c r="AZ45" i="17"/>
  <c r="AZ46" i="17"/>
  <c r="AW46" i="17" s="1"/>
  <c r="R28" i="17"/>
  <c r="S28" i="17"/>
  <c r="U28" i="17"/>
  <c r="AI15" i="17" l="1"/>
  <c r="AP14" i="17"/>
  <c r="AU14" i="17" s="1"/>
  <c r="AP15" i="17"/>
  <c r="AI6" i="17"/>
  <c r="AH6" i="17"/>
  <c r="P52" i="17" s="1"/>
  <c r="AJ6" i="17"/>
  <c r="AR46" i="17"/>
  <c r="AV46" i="17" s="1"/>
  <c r="AW45" i="17"/>
  <c r="AR45" i="17"/>
  <c r="AV45" i="17" s="1"/>
  <c r="AY28" i="17"/>
  <c r="O43" i="17"/>
  <c r="O42" i="17"/>
  <c r="O41" i="17"/>
  <c r="O44" i="17"/>
  <c r="O40" i="17"/>
  <c r="O39" i="17"/>
  <c r="AK15" i="17" l="1"/>
  <c r="AJ15" i="17"/>
  <c r="AH16" i="17"/>
  <c r="AQ14" i="17"/>
  <c r="AQ15" i="17"/>
  <c r="AW15" i="17" s="1"/>
  <c r="AH39" i="17"/>
  <c r="AI39" i="17"/>
  <c r="AI44" i="17"/>
  <c r="AH44" i="17"/>
  <c r="AI41" i="17"/>
  <c r="AH41" i="17"/>
  <c r="AI42" i="17"/>
  <c r="AH42" i="17"/>
  <c r="AI40" i="17"/>
  <c r="AH40" i="17"/>
  <c r="AI43" i="17"/>
  <c r="AH43" i="17"/>
  <c r="AE39" i="17"/>
  <c r="AE40" i="17"/>
  <c r="AE41" i="17"/>
  <c r="AE44" i="17"/>
  <c r="AE43" i="17"/>
  <c r="Z24" i="17" s="1"/>
  <c r="B24" i="17" s="1"/>
  <c r="AE42" i="17"/>
  <c r="AF41" i="17"/>
  <c r="AF39" i="17"/>
  <c r="AF40" i="17"/>
  <c r="AF44" i="17"/>
  <c r="AF42" i="17"/>
  <c r="AF43" i="17"/>
  <c r="D41" i="17"/>
  <c r="D43" i="17"/>
  <c r="D42" i="17"/>
  <c r="D44" i="17"/>
  <c r="D39" i="17"/>
  <c r="AS39" i="17"/>
  <c r="D40" i="17"/>
  <c r="AS40" i="17"/>
  <c r="P41" i="17"/>
  <c r="P44" i="17"/>
  <c r="P43" i="17"/>
  <c r="P42" i="17"/>
  <c r="P39" i="17"/>
  <c r="P40" i="17"/>
  <c r="AQ40" i="17"/>
  <c r="AP40" i="17"/>
  <c r="AQ39" i="17"/>
  <c r="AP39" i="17"/>
  <c r="S14" i="17"/>
  <c r="S15" i="17"/>
  <c r="S16" i="17"/>
  <c r="S17" i="17"/>
  <c r="S18" i="17"/>
  <c r="S19" i="17"/>
  <c r="S20" i="17"/>
  <c r="S22" i="17"/>
  <c r="S23" i="17"/>
  <c r="S24" i="17"/>
  <c r="S43" i="17" s="1"/>
  <c r="S25" i="17"/>
  <c r="S26" i="17"/>
  <c r="S44" i="17" s="1"/>
  <c r="S27" i="17"/>
  <c r="U15" i="17"/>
  <c r="U16" i="17"/>
  <c r="U17" i="17"/>
  <c r="U18" i="17"/>
  <c r="U19" i="17"/>
  <c r="U20" i="17"/>
  <c r="U21" i="17"/>
  <c r="U22" i="17"/>
  <c r="U23" i="17"/>
  <c r="U24" i="17"/>
  <c r="U25" i="17"/>
  <c r="U26" i="17"/>
  <c r="U27" i="17"/>
  <c r="U14" i="17"/>
  <c r="S40" i="17" l="1"/>
  <c r="S41" i="17"/>
  <c r="S42" i="17"/>
  <c r="Z27" i="17"/>
  <c r="B27" i="17" s="1"/>
  <c r="Z26" i="17"/>
  <c r="B26" i="17" s="1"/>
  <c r="Z15" i="17"/>
  <c r="Z16" i="17"/>
  <c r="Z21" i="17"/>
  <c r="B21" i="17" s="1"/>
  <c r="Z18" i="17"/>
  <c r="B18" i="17" s="1"/>
  <c r="Z17" i="17"/>
  <c r="B17" i="17" s="1"/>
  <c r="Z22" i="17"/>
  <c r="B22" i="17" s="1"/>
  <c r="Z20" i="17"/>
  <c r="B20" i="17" s="1"/>
  <c r="Z23" i="17"/>
  <c r="B23" i="17" s="1"/>
  <c r="B40" i="17"/>
  <c r="AB40" i="17"/>
  <c r="AC40" i="17"/>
  <c r="B39" i="17"/>
  <c r="AC39" i="17"/>
  <c r="AB39" i="17"/>
  <c r="B43" i="17"/>
  <c r="AB43" i="17"/>
  <c r="AC43" i="17"/>
  <c r="B44" i="17"/>
  <c r="AB44" i="17"/>
  <c r="AC44" i="17"/>
  <c r="B41" i="17"/>
  <c r="AB41" i="17"/>
  <c r="AC41" i="17"/>
  <c r="B42" i="17"/>
  <c r="AB42" i="17"/>
  <c r="AC42" i="17"/>
  <c r="AM15" i="17"/>
  <c r="AB15" i="17"/>
  <c r="AU15" i="17"/>
  <c r="AH17" i="17"/>
  <c r="AP16" i="17"/>
  <c r="AI16" i="17"/>
  <c r="AI36" i="17"/>
  <c r="AH36" i="17"/>
  <c r="AU36" i="17" s="1"/>
  <c r="Z19" i="17"/>
  <c r="B19" i="17" s="1"/>
  <c r="AL14" i="17"/>
  <c r="AN14" i="17" s="1"/>
  <c r="O36" i="17"/>
  <c r="R4" i="17"/>
  <c r="V33" i="17"/>
  <c r="T33" i="17"/>
  <c r="V6" i="17"/>
  <c r="S21" i="17"/>
  <c r="S39" i="17" s="1"/>
  <c r="B15" i="17" l="1"/>
  <c r="AB38" i="17"/>
  <c r="AP53" i="17" s="1"/>
  <c r="AC38" i="17"/>
  <c r="AQ53" i="17" s="1"/>
  <c r="AI17" i="17"/>
  <c r="AI18" i="17" s="1"/>
  <c r="AI19" i="17" s="1"/>
  <c r="AI20" i="17" s="1"/>
  <c r="AI21" i="17" s="1"/>
  <c r="AI22" i="17" s="1"/>
  <c r="AI23" i="17" s="1"/>
  <c r="AI24" i="17" s="1"/>
  <c r="AI25" i="17" s="1"/>
  <c r="AI26" i="17" s="1"/>
  <c r="AI27" i="17" s="1"/>
  <c r="AK16" i="17"/>
  <c r="AJ16" i="17"/>
  <c r="AJ17" i="17" s="1"/>
  <c r="AJ18" i="17" s="1"/>
  <c r="AJ19" i="17" s="1"/>
  <c r="AJ20" i="17" s="1"/>
  <c r="AJ21" i="17" s="1"/>
  <c r="AJ22" i="17" s="1"/>
  <c r="AJ23" i="17" s="1"/>
  <c r="AJ24" i="17" s="1"/>
  <c r="AJ25" i="17" s="1"/>
  <c r="AJ26" i="17" s="1"/>
  <c r="AJ27" i="17" s="1"/>
  <c r="AQ16" i="17"/>
  <c r="AW16" i="17" s="1"/>
  <c r="AH18" i="17"/>
  <c r="AP17" i="17"/>
  <c r="AR14" i="17"/>
  <c r="AS14" i="17" s="1"/>
  <c r="AL15" i="17"/>
  <c r="AN15" i="17" s="1"/>
  <c r="U33" i="17"/>
  <c r="T39" i="17"/>
  <c r="T44" i="17"/>
  <c r="T40" i="17"/>
  <c r="T6" i="17"/>
  <c r="T43" i="17"/>
  <c r="T42" i="17"/>
  <c r="T41" i="17"/>
  <c r="AM16" i="17" l="1"/>
  <c r="AB16" i="17"/>
  <c r="B16" i="17" s="1"/>
  <c r="AU16" i="17"/>
  <c r="AU17" i="17"/>
  <c r="AQ17" i="17"/>
  <c r="AH19" i="17"/>
  <c r="AP18" i="17"/>
  <c r="AR15" i="17"/>
  <c r="AS15" i="17" s="1"/>
  <c r="AV15" i="17" s="1"/>
  <c r="AL16" i="17"/>
  <c r="R16" i="17"/>
  <c r="V43" i="17"/>
  <c r="W43" i="17"/>
  <c r="V44" i="17"/>
  <c r="W44" i="17"/>
  <c r="AN16" i="17" l="1"/>
  <c r="AU18" i="17"/>
  <c r="AQ18" i="17"/>
  <c r="AH20" i="17"/>
  <c r="AP19" i="17"/>
  <c r="AY16" i="17"/>
  <c r="AR16" i="17"/>
  <c r="AS16" i="17" s="1"/>
  <c r="AV16" i="17" s="1"/>
  <c r="AL17" i="17"/>
  <c r="AN17" i="17" s="1"/>
  <c r="R2" i="17"/>
  <c r="AY2" i="17" s="1"/>
  <c r="AQ44" i="17"/>
  <c r="R14" i="17"/>
  <c r="R15" i="17"/>
  <c r="R17" i="17"/>
  <c r="AY18" i="17"/>
  <c r="R19" i="17"/>
  <c r="R42" i="17" s="1"/>
  <c r="AY42" i="17" s="1"/>
  <c r="R20" i="17"/>
  <c r="R21" i="17"/>
  <c r="R22" i="17"/>
  <c r="R23" i="17"/>
  <c r="R24" i="17"/>
  <c r="R43" i="17" s="1"/>
  <c r="AY43" i="17" s="1"/>
  <c r="R25" i="17"/>
  <c r="R26" i="17"/>
  <c r="R44" i="17" s="1"/>
  <c r="AY44" i="17" s="1"/>
  <c r="R27" i="17"/>
  <c r="O48" i="17"/>
  <c r="W42" i="17"/>
  <c r="V42" i="17"/>
  <c r="W41" i="17"/>
  <c r="V41" i="17"/>
  <c r="W40" i="17"/>
  <c r="V40" i="17"/>
  <c r="W39" i="17"/>
  <c r="V39" i="17"/>
  <c r="W6" i="17"/>
  <c r="C6" i="17"/>
  <c r="R40" i="17" l="1"/>
  <c r="AY40" i="17" s="1"/>
  <c r="R39" i="17"/>
  <c r="AY39" i="17" s="1"/>
  <c r="AZ44" i="17"/>
  <c r="AS44" i="17" s="1"/>
  <c r="AZ43" i="17"/>
  <c r="AS43" i="17" s="1"/>
  <c r="F31" i="17"/>
  <c r="F30" i="17"/>
  <c r="F29" i="17"/>
  <c r="AU19" i="17"/>
  <c r="AQ19" i="17"/>
  <c r="AH21" i="17"/>
  <c r="AP20" i="17"/>
  <c r="F40" i="17"/>
  <c r="F41" i="17"/>
  <c r="F42" i="17"/>
  <c r="F43" i="17"/>
  <c r="F44" i="17"/>
  <c r="F35" i="17"/>
  <c r="F50" i="17"/>
  <c r="F36" i="17"/>
  <c r="F51" i="17"/>
  <c r="F37" i="17"/>
  <c r="F52" i="17"/>
  <c r="F38" i="17"/>
  <c r="F53" i="17"/>
  <c r="F39" i="17"/>
  <c r="F46" i="17"/>
  <c r="F47" i="17"/>
  <c r="F48" i="17"/>
  <c r="F49" i="17"/>
  <c r="F32" i="17"/>
  <c r="F33" i="17"/>
  <c r="F34" i="17"/>
  <c r="F45" i="17"/>
  <c r="F12" i="17"/>
  <c r="F13" i="17"/>
  <c r="F14" i="17"/>
  <c r="F15" i="17"/>
  <c r="F18" i="17"/>
  <c r="F19" i="17"/>
  <c r="F20" i="17"/>
  <c r="F21" i="17"/>
  <c r="F22" i="17"/>
  <c r="F23" i="17"/>
  <c r="F24" i="17"/>
  <c r="F25" i="17"/>
  <c r="F26" i="17"/>
  <c r="F27" i="17"/>
  <c r="F28" i="17"/>
  <c r="F16" i="17"/>
  <c r="F17" i="17"/>
  <c r="AY22" i="17"/>
  <c r="AY21" i="17"/>
  <c r="R41" i="17"/>
  <c r="AY41" i="17" s="1"/>
  <c r="AY14" i="17"/>
  <c r="AZ14" i="17" s="1"/>
  <c r="AY25" i="17"/>
  <c r="AY23" i="17"/>
  <c r="AR17" i="17"/>
  <c r="AS17" i="17" s="1"/>
  <c r="AL18" i="17"/>
  <c r="AN18" i="17" s="1"/>
  <c r="AZ40" i="17"/>
  <c r="AZ39" i="17"/>
  <c r="AZ42" i="17"/>
  <c r="AS42" i="17" s="1"/>
  <c r="AY17" i="17"/>
  <c r="AY20" i="17"/>
  <c r="AY26" i="17"/>
  <c r="AY27" i="17"/>
  <c r="AY19" i="17"/>
  <c r="AY24" i="17"/>
  <c r="AY15" i="17"/>
  <c r="AQ43" i="17"/>
  <c r="AQ42" i="17"/>
  <c r="AQ41" i="17"/>
  <c r="R6" i="17"/>
  <c r="AU20" i="17" l="1"/>
  <c r="AQ20" i="17"/>
  <c r="AH22" i="17"/>
  <c r="AP21" i="17"/>
  <c r="H5" i="17"/>
  <c r="G5" i="17"/>
  <c r="AZ41" i="17"/>
  <c r="AR18" i="17"/>
  <c r="AS18" i="17" s="1"/>
  <c r="AP41" i="17"/>
  <c r="AP42" i="17"/>
  <c r="AP43" i="17"/>
  <c r="AY6" i="17"/>
  <c r="AR44" i="17"/>
  <c r="AV44" i="17" s="1"/>
  <c r="AP44" i="17"/>
  <c r="AR42" i="17"/>
  <c r="AV42" i="17" s="1"/>
  <c r="AR40" i="17"/>
  <c r="AV40" i="17" s="1"/>
  <c r="AR43" i="17"/>
  <c r="AV43" i="17" s="1"/>
  <c r="AZ15" i="17"/>
  <c r="AY33" i="17"/>
  <c r="AX14" i="17"/>
  <c r="AR41" i="17" l="1"/>
  <c r="AS41" i="17"/>
  <c r="AU21" i="17"/>
  <c r="AQ21" i="17"/>
  <c r="AH23" i="17"/>
  <c r="AP22" i="17"/>
  <c r="N5" i="17"/>
  <c r="AR19" i="17"/>
  <c r="AS19" i="17" s="1"/>
  <c r="AL19" i="17"/>
  <c r="AN19" i="17" s="1"/>
  <c r="AW39" i="17"/>
  <c r="AR39" i="17"/>
  <c r="AW41" i="17"/>
  <c r="AW42" i="17"/>
  <c r="AW40" i="17"/>
  <c r="AW44" i="17"/>
  <c r="AW43" i="17"/>
  <c r="AZ16" i="17"/>
  <c r="AX16" i="17" s="1"/>
  <c r="R36" i="17"/>
  <c r="V4" i="17" s="1"/>
  <c r="AE4" i="17" s="1"/>
  <c r="AX15" i="17"/>
  <c r="AV41" i="17" l="1"/>
  <c r="AI4" i="17"/>
  <c r="AG4" i="17"/>
  <c r="AU4" i="17" s="1"/>
  <c r="AY4" i="17" s="1"/>
  <c r="AU22" i="17"/>
  <c r="AQ22" i="17"/>
  <c r="AH24" i="17"/>
  <c r="AP23" i="17"/>
  <c r="V36" i="17"/>
  <c r="AV39" i="17"/>
  <c r="AR20" i="17"/>
  <c r="AS20" i="17" s="1"/>
  <c r="AL20" i="17"/>
  <c r="AN20" i="17" s="1"/>
  <c r="AZ17" i="17"/>
  <c r="AX17" i="17" s="1"/>
  <c r="AZ36" i="17"/>
  <c r="AU23" i="17" l="1"/>
  <c r="AQ23" i="17"/>
  <c r="AH25" i="17"/>
  <c r="AP24" i="17"/>
  <c r="AR21" i="17"/>
  <c r="AS21" i="17" s="1"/>
  <c r="AL21" i="17"/>
  <c r="AN21" i="17" s="1"/>
  <c r="AL22" i="17"/>
  <c r="AN22" i="17" s="1"/>
  <c r="AY36" i="17"/>
  <c r="AY54" i="17" s="1"/>
  <c r="AZ18" i="17"/>
  <c r="AX18" i="17" s="1"/>
  <c r="AU24" i="17" l="1"/>
  <c r="AQ24" i="17"/>
  <c r="AH26" i="17"/>
  <c r="AP25" i="17"/>
  <c r="AR22" i="17"/>
  <c r="AS22" i="17" s="1"/>
  <c r="AL23" i="17"/>
  <c r="AN23" i="17" s="1"/>
  <c r="AZ19" i="17"/>
  <c r="AX19" i="17" s="1"/>
  <c r="AU25" i="17" l="1"/>
  <c r="AQ25" i="17"/>
  <c r="AH27" i="17"/>
  <c r="AP26" i="17"/>
  <c r="AR23" i="17"/>
  <c r="AS23" i="17" s="1"/>
  <c r="AZ20" i="17"/>
  <c r="AX20" i="17" s="1"/>
  <c r="AU26" i="17" l="1"/>
  <c r="AQ26" i="17"/>
  <c r="AH28" i="17"/>
  <c r="AP27" i="17"/>
  <c r="AR24" i="17"/>
  <c r="AS24" i="17" s="1"/>
  <c r="AL25" i="17"/>
  <c r="AN25" i="17" s="1"/>
  <c r="AL24" i="17"/>
  <c r="AN24" i="17" s="1"/>
  <c r="AZ21" i="17"/>
  <c r="AX21" i="17" s="1"/>
  <c r="AI28" i="17" l="1"/>
  <c r="AH29" i="17"/>
  <c r="AK28" i="17"/>
  <c r="AJ28" i="17"/>
  <c r="AU27" i="17"/>
  <c r="AQ27" i="17"/>
  <c r="AP28" i="17"/>
  <c r="AR26" i="17"/>
  <c r="AS26" i="17" s="1"/>
  <c r="AR25" i="17"/>
  <c r="AS25" i="17" s="1"/>
  <c r="AZ22" i="17"/>
  <c r="AX22" i="17" s="1"/>
  <c r="AI29" i="17" l="1"/>
  <c r="AK29" i="17" s="1"/>
  <c r="AP29" i="17"/>
  <c r="AB28" i="17"/>
  <c r="AM28" i="17"/>
  <c r="AU28" i="17"/>
  <c r="AQ28" i="17"/>
  <c r="AW28" i="17" s="1"/>
  <c r="AL26" i="17"/>
  <c r="AN26" i="17" s="1"/>
  <c r="AL27" i="17"/>
  <c r="AN27" i="17" s="1"/>
  <c r="AR27" i="17"/>
  <c r="AS27" i="17" s="1"/>
  <c r="AZ23" i="17"/>
  <c r="AX23" i="17" s="1"/>
  <c r="AL29" i="17" l="1"/>
  <c r="AM29" i="17"/>
  <c r="AN29" i="17" s="1"/>
  <c r="AU29" i="17"/>
  <c r="AQ29" i="17"/>
  <c r="AW29" i="17" s="1"/>
  <c r="AR29" i="17"/>
  <c r="AH30" i="17"/>
  <c r="AJ29" i="17"/>
  <c r="AL28" i="17"/>
  <c r="AN28" i="17" s="1"/>
  <c r="AZ24" i="17"/>
  <c r="AX24" i="17" s="1"/>
  <c r="AS29" i="17" l="1"/>
  <c r="AV29" i="17" s="1"/>
  <c r="AI30" i="17"/>
  <c r="AK30" i="17" s="1"/>
  <c r="AP30" i="17"/>
  <c r="AH31" i="17"/>
  <c r="AJ30" i="17"/>
  <c r="AR28" i="17"/>
  <c r="AS28" i="17" s="1"/>
  <c r="AV28" i="17" s="1"/>
  <c r="AZ25" i="17"/>
  <c r="AX25" i="17" s="1"/>
  <c r="AI31" i="17" l="1"/>
  <c r="AK31" i="17" s="1"/>
  <c r="AP31" i="17"/>
  <c r="AJ31" i="17"/>
  <c r="AQ30" i="17"/>
  <c r="AW30" i="17" s="1"/>
  <c r="AR30" i="17"/>
  <c r="AU30" i="17"/>
  <c r="AL30" i="17"/>
  <c r="AM30" i="17"/>
  <c r="AZ26" i="17"/>
  <c r="AX26" i="17" s="1"/>
  <c r="AN30" i="17" l="1"/>
  <c r="AS30" i="17"/>
  <c r="AV30" i="17" s="1"/>
  <c r="AQ31" i="17"/>
  <c r="AW31" i="17" s="1"/>
  <c r="AR31" i="17"/>
  <c r="AS31" i="17" s="1"/>
  <c r="AV31" i="17" s="1"/>
  <c r="AU31" i="17"/>
  <c r="AL31" i="17"/>
  <c r="AM31" i="17"/>
  <c r="AN31" i="17" s="1"/>
  <c r="AZ27" i="17"/>
  <c r="AX27" i="17" s="1"/>
  <c r="AZ28" i="17" l="1"/>
  <c r="AZ29" i="17" s="1"/>
  <c r="S6" i="17"/>
  <c r="AZ30" i="17" l="1"/>
  <c r="AX28" i="17"/>
  <c r="AX29" i="17" s="1"/>
  <c r="AU2" i="17"/>
  <c r="AZ31" i="17" l="1"/>
  <c r="AX30" i="17"/>
  <c r="AX31" i="17" s="1"/>
  <c r="AZ33" i="17"/>
  <c r="Q33" i="17" l="1"/>
  <c r="P33" i="17" s="1"/>
  <c r="O32" i="17" s="1"/>
  <c r="O6" i="17" s="1"/>
  <c r="AZ54" i="17"/>
  <c r="I17" i="17" l="1"/>
  <c r="G19" i="17"/>
  <c r="M22" i="17"/>
  <c r="AC27" i="17"/>
  <c r="M23" i="17"/>
  <c r="J16" i="17"/>
  <c r="G18" i="17"/>
  <c r="G24" i="17"/>
  <c r="M21" i="17"/>
  <c r="L6" i="17"/>
  <c r="G6" i="17"/>
  <c r="G10" i="17" s="1"/>
  <c r="J6" i="17"/>
  <c r="I6" i="17"/>
  <c r="K6" i="17"/>
  <c r="H6" i="17"/>
  <c r="G22" i="17"/>
  <c r="K22" i="17"/>
  <c r="I22" i="17"/>
  <c r="H18" i="17"/>
  <c r="M17" i="17"/>
  <c r="L21" i="17"/>
  <c r="K18" i="17"/>
  <c r="J15" i="17"/>
  <c r="K15" i="17"/>
  <c r="M15" i="17"/>
  <c r="K20" i="17"/>
  <c r="J20" i="17"/>
  <c r="G20" i="17"/>
  <c r="AC20" i="17"/>
  <c r="N20" i="17"/>
  <c r="L20" i="17"/>
  <c r="H20" i="17"/>
  <c r="M20" i="17"/>
  <c r="I20" i="17"/>
  <c r="H26" i="17"/>
  <c r="G26" i="17"/>
  <c r="M26" i="17"/>
  <c r="K26" i="17"/>
  <c r="L26" i="17"/>
  <c r="I26" i="17"/>
  <c r="N26" i="17"/>
  <c r="AC26" i="17"/>
  <c r="J26" i="17"/>
  <c r="I18" i="17"/>
  <c r="AC18" i="17"/>
  <c r="N18" i="17"/>
  <c r="L18" i="17"/>
  <c r="J18" i="17"/>
  <c r="M18" i="17"/>
  <c r="J19" i="17"/>
  <c r="M16" i="17"/>
  <c r="I19" i="17"/>
  <c r="K16" i="17"/>
  <c r="H22" i="17"/>
  <c r="AC22" i="17"/>
  <c r="N22" i="17"/>
  <c r="L22" i="17"/>
  <c r="J22" i="17"/>
  <c r="H19" i="17"/>
  <c r="M19" i="17"/>
  <c r="L19" i="17"/>
  <c r="G16" i="17"/>
  <c r="K19" i="17"/>
  <c r="N19" i="17"/>
  <c r="M24" i="17"/>
  <c r="N15" i="17"/>
  <c r="AC15" i="17"/>
  <c r="L15" i="17"/>
  <c r="G15" i="17"/>
  <c r="H15" i="17"/>
  <c r="I15" i="17"/>
  <c r="M27" i="17"/>
  <c r="H24" i="17"/>
  <c r="K24" i="17"/>
  <c r="G27" i="17"/>
  <c r="J21" i="17"/>
  <c r="I21" i="17"/>
  <c r="G21" i="17"/>
  <c r="I27" i="17"/>
  <c r="N24" i="17"/>
  <c r="H27" i="17"/>
  <c r="L27" i="17"/>
  <c r="N27" i="17"/>
  <c r="AC24" i="17"/>
  <c r="L24" i="17"/>
  <c r="I24" i="17"/>
  <c r="J24" i="17"/>
  <c r="AC17" i="17"/>
  <c r="J17" i="17"/>
  <c r="L17" i="17"/>
  <c r="H21" i="17"/>
  <c r="N21" i="17"/>
  <c r="I16" i="17"/>
  <c r="AC23" i="17"/>
  <c r="K21" i="17"/>
  <c r="G17" i="17"/>
  <c r="N17" i="17"/>
  <c r="J27" i="17"/>
  <c r="I23" i="17"/>
  <c r="G23" i="17"/>
  <c r="H16" i="17"/>
  <c r="K27" i="17"/>
  <c r="AC21" i="17"/>
  <c r="J23" i="17"/>
  <c r="AC19" i="17"/>
  <c r="N16" i="17"/>
  <c r="K23" i="17"/>
  <c r="AC16" i="17"/>
  <c r="H23" i="17"/>
  <c r="L23" i="17"/>
  <c r="K17" i="17"/>
  <c r="H17" i="17"/>
  <c r="N23" i="17"/>
  <c r="L16" i="17"/>
  <c r="K12" i="17" l="1"/>
  <c r="AM53" i="17" s="1"/>
  <c r="H12" i="17"/>
  <c r="AI53" i="17" s="1"/>
  <c r="I12" i="17"/>
  <c r="AG53" i="17" s="1"/>
  <c r="G12" i="17"/>
  <c r="L12" i="17"/>
  <c r="J12" i="17"/>
  <c r="AL53" i="17" s="1"/>
  <c r="AC12" i="17"/>
  <c r="N6" i="17"/>
  <c r="AS53" i="17" l="1"/>
  <c r="M2" i="17"/>
  <c r="L2" i="17"/>
  <c r="Y53" i="17"/>
  <c r="AU6" i="17"/>
  <c r="AU5" i="17" s="1"/>
  <c r="L10" i="17"/>
  <c r="G2" i="17"/>
  <c r="J10" i="17"/>
  <c r="K10" i="17"/>
  <c r="I10" i="17"/>
  <c r="H10" i="17"/>
  <c r="AE53" i="17"/>
  <c r="M10" i="17" l="1"/>
  <c r="J2" i="17"/>
  <c r="I2" i="17"/>
  <c r="C55" i="17"/>
  <c r="H2" i="17"/>
  <c r="N2" i="17" l="1"/>
  <c r="AC4" i="17" s="1"/>
  <c r="AY55" i="17" s="1"/>
  <c r="AP13" i="17" l="1"/>
  <c r="AN6" i="17"/>
  <c r="S52" i="17" s="1"/>
  <c r="T52" i="17" s="1"/>
  <c r="V52" i="17" s="1"/>
  <c r="W52" i="17" s="1"/>
  <c r="AV52" i="17"/>
  <c r="AU10" i="17"/>
  <c r="AW10" i="17"/>
  <c r="AB4" i="17"/>
  <c r="AQ13" i="17" l="1"/>
  <c r="AR13" i="17"/>
  <c r="AZ52" i="17"/>
  <c r="AY52" i="17" s="1"/>
  <c r="F2"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<sst xmlns="http://schemas.openxmlformats.org/spreadsheetml/2006/main" count="528" uniqueCount="201">
  <si>
    <t>Depot</t>
  </si>
  <si>
    <t>Kauf</t>
  </si>
  <si>
    <t>Datum</t>
  </si>
  <si>
    <t>Stück</t>
  </si>
  <si>
    <t>Kurs</t>
  </si>
  <si>
    <t>Verkauf</t>
  </si>
  <si>
    <t>AGS</t>
  </si>
  <si>
    <t>!</t>
  </si>
  <si>
    <t>Verlusttopf</t>
  </si>
  <si>
    <t>Stand:</t>
  </si>
  <si>
    <t>Dividende</t>
  </si>
  <si>
    <t>Wert</t>
  </si>
  <si>
    <t>^</t>
  </si>
  <si>
    <t>&gt;Auswertung</t>
  </si>
  <si>
    <t>aktueller</t>
  </si>
  <si>
    <t>Gewinn</t>
  </si>
  <si>
    <t>^in Depot</t>
  </si>
  <si>
    <t>^aus Depot</t>
  </si>
  <si>
    <t>Verlust €</t>
  </si>
  <si>
    <t>Bank</t>
  </si>
  <si>
    <t>Divi</t>
  </si>
  <si>
    <t>Erfolg</t>
  </si>
  <si>
    <t>Netto-Ertrag</t>
  </si>
  <si>
    <t>Umsatz</t>
  </si>
  <si>
    <t>€-Einlage</t>
  </si>
  <si>
    <t>$-Bank</t>
  </si>
  <si>
    <t/>
  </si>
  <si>
    <t>Gebühren</t>
  </si>
  <si>
    <t>Verrechnungskonto-Stand</t>
  </si>
  <si>
    <t>&gt;</t>
  </si>
  <si>
    <t>Freistellung</t>
  </si>
  <si>
    <t>Aktie</t>
  </si>
  <si>
    <t>Aktie             Stück</t>
  </si>
  <si>
    <t>Sel</t>
  </si>
  <si>
    <t>Eigentümer</t>
  </si>
  <si>
    <t xml:space="preserve">Depot 1234567890  via Konto
DE01 2345 6789 0123 4567 89  </t>
  </si>
  <si>
    <t>Inst 1</t>
  </si>
  <si>
    <t>aktuell aktiv</t>
  </si>
  <si>
    <t xml:space="preserve"> Gesamt-Einlage</t>
  </si>
  <si>
    <t>Saldo</t>
  </si>
  <si>
    <t>^ einfügen</t>
  </si>
  <si>
    <t>Ê</t>
  </si>
  <si>
    <t>an Finanzstatus</t>
  </si>
  <si>
    <t>an
Finanzstatus</t>
  </si>
  <si>
    <t>&lt; Depotnummer  und 
&lt; Verrechnungskontonummer eintragen</t>
  </si>
  <si>
    <t>^ Name des Depoteigentümers eintragen</t>
  </si>
  <si>
    <r>
      <rPr>
        <b/>
        <sz val="8"/>
        <color rgb="FFC00000"/>
        <rFont val="Wingdings"/>
        <charset val="2"/>
      </rPr>
      <t>Ê</t>
    </r>
    <r>
      <rPr>
        <b/>
        <sz val="8"/>
        <color rgb="FFC00000"/>
        <rFont val="Arial"/>
        <family val="2"/>
      </rPr>
      <t xml:space="preserve"> selektieren, wenn der Verrechnungskontostand automatisiert weitergeleitet wird &gt;</t>
    </r>
    <r>
      <rPr>
        <b/>
        <sz val="8"/>
        <color theme="0"/>
        <rFont val="Arial"/>
        <family val="2"/>
      </rPr>
      <t>.</t>
    </r>
  </si>
  <si>
    <t>§-AGS</t>
  </si>
  <si>
    <t>Aktienname</t>
  </si>
  <si>
    <t>FA</t>
  </si>
  <si>
    <t xml:space="preserve">        ^ Kurs beim Kauf/Verkauf eintragen</t>
  </si>
  <si>
    <t xml:space="preserve">        ^ gezahlte AGS eintragen</t>
  </si>
  <si>
    <t xml:space="preserve">           ^ Einlagen und Bankgebühren eintragen</t>
  </si>
  <si>
    <t>^ erhaltene
Dividenden
eintragen</t>
  </si>
  <si>
    <t xml:space="preserve">            ^ Datum des Vorgangs eintragen</t>
  </si>
  <si>
    <r>
      <t xml:space="preserve">Nach dem Einfügen oder Löschen erscheinen in einigen Zeilen </t>
    </r>
    <r>
      <rPr>
        <b/>
        <u/>
        <sz val="10"/>
        <color rgb="FFC00000"/>
        <rFont val="Arial"/>
        <family val="2"/>
      </rPr>
      <t>rote Ränder</t>
    </r>
    <r>
      <rPr>
        <b/>
        <sz val="10"/>
        <color rgb="FF002060"/>
        <rFont val="Arial"/>
        <family val="2"/>
      </rPr>
      <t xml:space="preserve"> links und rechts:</t>
    </r>
  </si>
  <si>
    <t>bis hierher ziehen!</t>
  </si>
  <si>
    <t>Diese Zeilen (und eventuell nachfolgende Zeilen ohne roten Rand) müssen wie folgt korrigiert werden:</t>
  </si>
  <si>
    <r>
      <t xml:space="preserve">Die letzten korrekten Zellen vor den roten Rändern werden markiert, so dass die Zellen </t>
    </r>
    <r>
      <rPr>
        <b/>
        <u/>
        <sz val="9"/>
        <color rgb="FFC00000"/>
        <rFont val="Arial"/>
        <family val="2"/>
      </rPr>
      <t>direkt über den roten Rändern</t>
    </r>
    <r>
      <rPr>
        <b/>
        <sz val="9"/>
        <color rgb="FFC00000"/>
        <rFont val="Arial"/>
        <family val="2"/>
      </rPr>
      <t xml:space="preserve"> markiert sind!</t>
    </r>
  </si>
  <si>
    <t>Zeilen hinzufügen</t>
  </si>
  <si>
    <t>Zeilen löschen</t>
  </si>
  <si>
    <r>
      <rPr>
        <b/>
        <i/>
        <sz val="8"/>
        <color rgb="FFFFFF00"/>
        <rFont val="Wingdings"/>
        <charset val="2"/>
      </rPr>
      <t>Ê</t>
    </r>
    <r>
      <rPr>
        <b/>
        <i/>
        <sz val="8"/>
        <color rgb="FFFFFF00"/>
        <rFont val="Arial"/>
        <family val="2"/>
      </rPr>
      <t xml:space="preserve">  ist der Hinweis, dass  dieses Feld an
eine andere Anwendung exportiert wird.</t>
    </r>
  </si>
  <si>
    <t>Depot-Kopfdaten</t>
  </si>
  <si>
    <t>korrigieren!</t>
  </si>
  <si>
    <r>
      <t>Die graue Zelle markieren (Bereich nach unten bei Bedarf erweitern) und in "</t>
    </r>
    <r>
      <rPr>
        <b/>
        <u/>
        <sz val="9"/>
        <color theme="9" tint="-0.499984740745262"/>
        <rFont val="Arial"/>
        <family val="2"/>
      </rPr>
      <t>Start</t>
    </r>
    <r>
      <rPr>
        <b/>
        <sz val="9"/>
        <color theme="9" tint="-0.499984740745262"/>
        <rFont val="Arial"/>
        <family val="2"/>
      </rPr>
      <t>" im Block "</t>
    </r>
    <r>
      <rPr>
        <b/>
        <u/>
        <sz val="9"/>
        <color theme="9" tint="-0.499984740745262"/>
        <rFont val="Arial"/>
        <family val="2"/>
      </rPr>
      <t>Zellen</t>
    </r>
    <r>
      <rPr>
        <b/>
        <sz val="9"/>
        <color theme="9" tint="-0.499984740745262"/>
        <rFont val="Arial"/>
        <family val="2"/>
      </rPr>
      <t>":</t>
    </r>
  </si>
  <si>
    <t xml:space="preserve">  ^ Namen der Aktie eintragen</t>
  </si>
  <si>
    <t>Diese Anwendung wurde entsprechend den geltenden Gesetze erstellt und ausgiebig getestet. Der Ersteller übernimmt jedoch keine Gewähr.
Der Anwender ist für  die Eintragungen und  Veränderung selbst verantwortlich.  Dies wird hiermit durch Nutzung der Anwendung akzeptiert.</t>
  </si>
  <si>
    <t>inaktive Aktien</t>
  </si>
  <si>
    <t>aktuell aktive Aktien</t>
  </si>
  <si>
    <t>Erfolg geschlossene Aktien</t>
  </si>
  <si>
    <t>Einlage</t>
  </si>
  <si>
    <r>
      <t>Die graue Zelle markieren (Bereich nach unten bei Bedarf erweitern) und in '</t>
    </r>
    <r>
      <rPr>
        <b/>
        <u/>
        <sz val="9"/>
        <color theme="9" tint="-0.499984740745262"/>
        <rFont val="Arial"/>
        <family val="2"/>
      </rPr>
      <t>Start</t>
    </r>
    <r>
      <rPr>
        <b/>
        <sz val="9"/>
        <color theme="9" tint="-0.499984740745262"/>
        <rFont val="Arial"/>
        <family val="2"/>
      </rPr>
      <t>' im Block '</t>
    </r>
    <r>
      <rPr>
        <b/>
        <u/>
        <sz val="9"/>
        <color theme="9" tint="-0.499984740745262"/>
        <rFont val="Arial"/>
        <family val="2"/>
      </rPr>
      <t>Zellen</t>
    </r>
    <r>
      <rPr>
        <b/>
        <sz val="9"/>
        <color theme="9" tint="-0.499984740745262"/>
        <rFont val="Arial"/>
        <family val="2"/>
      </rPr>
      <t>':</t>
    </r>
  </si>
  <si>
    <r>
      <t>'</t>
    </r>
    <r>
      <rPr>
        <b/>
        <u/>
        <sz val="9"/>
        <color rgb="FFC00000"/>
        <rFont val="Arial"/>
        <family val="2"/>
      </rPr>
      <t>Einfügen</t>
    </r>
    <r>
      <rPr>
        <b/>
        <sz val="9"/>
        <color rgb="FFC00000"/>
        <rFont val="Arial"/>
        <family val="2"/>
      </rPr>
      <t>' &gt; '</t>
    </r>
    <r>
      <rPr>
        <b/>
        <u/>
        <sz val="9"/>
        <color rgb="FFC00000"/>
        <rFont val="Arial"/>
        <family val="2"/>
      </rPr>
      <t>Blattzeilen einfügen</t>
    </r>
    <r>
      <rPr>
        <b/>
        <sz val="9"/>
        <color rgb="FFC00000"/>
        <rFont val="Arial"/>
        <family val="2"/>
      </rPr>
      <t>' drücken</t>
    </r>
  </si>
  <si>
    <r>
      <t>'</t>
    </r>
    <r>
      <rPr>
        <b/>
        <u/>
        <sz val="9"/>
        <color rgb="FFC00000"/>
        <rFont val="Arial"/>
        <family val="2"/>
      </rPr>
      <t>Löschen</t>
    </r>
    <r>
      <rPr>
        <b/>
        <sz val="9"/>
        <color rgb="FFC00000"/>
        <rFont val="Arial"/>
        <family val="2"/>
      </rPr>
      <t>' &gt; '</t>
    </r>
    <r>
      <rPr>
        <b/>
        <u/>
        <sz val="9"/>
        <color rgb="FFC00000"/>
        <rFont val="Arial"/>
        <family val="2"/>
      </rPr>
      <t>Blattzeilen löschen</t>
    </r>
    <r>
      <rPr>
        <b/>
        <sz val="9"/>
        <color rgb="FFC00000"/>
        <rFont val="Arial"/>
        <family val="2"/>
      </rPr>
      <t>' drücken</t>
    </r>
  </si>
  <si>
    <t>Die zu löschende(n) Zeile(n) markieren und in 'Start' im Block 'Zellen':</t>
  </si>
  <si>
    <r>
      <t xml:space="preserve">         ^ Den aktuellen Aktienkurs eintragen bei Bestand. Wenn </t>
    </r>
    <r>
      <rPr>
        <b/>
        <u/>
        <sz val="8"/>
        <color rgb="FFC00000"/>
        <rFont val="Arial"/>
        <family val="2"/>
      </rPr>
      <t>kein Bestand</t>
    </r>
    <r>
      <rPr>
        <b/>
        <sz val="8"/>
        <color rgb="FFC00000"/>
        <rFont val="Arial"/>
        <family val="2"/>
      </rPr>
      <t xml:space="preserve"> vorhanden ist, unbedingt '</t>
    </r>
    <r>
      <rPr>
        <b/>
        <u/>
        <sz val="8"/>
        <color rgb="FFC00000"/>
        <rFont val="Arial"/>
        <family val="2"/>
      </rPr>
      <t>0</t>
    </r>
    <r>
      <rPr>
        <b/>
        <sz val="8"/>
        <color rgb="FFC00000"/>
        <rFont val="Arial"/>
        <family val="2"/>
      </rPr>
      <t>' eintragen!</t>
    </r>
  </si>
  <si>
    <r>
      <t>Markierung bis direkt über '</t>
    </r>
    <r>
      <rPr>
        <b/>
        <u/>
        <sz val="9"/>
        <color rgb="FFC00000"/>
        <rFont val="Arial"/>
        <family val="2"/>
      </rPr>
      <t>^ einfügen</t>
    </r>
    <r>
      <rPr>
        <b/>
        <sz val="9"/>
        <color rgb="FFC00000"/>
        <rFont val="Arial"/>
        <family val="2"/>
      </rPr>
      <t xml:space="preserve">    </t>
    </r>
    <r>
      <rPr>
        <b/>
        <u/>
        <sz val="9"/>
        <color rgb="FFC00000"/>
        <rFont val="Arial"/>
        <family val="2"/>
      </rPr>
      <t>bis hierher ziehen!</t>
    </r>
    <r>
      <rPr>
        <b/>
        <sz val="9"/>
        <color rgb="FFC00000"/>
        <rFont val="Arial"/>
        <family val="2"/>
      </rPr>
      <t>' ziehen, auch wenn Zeilen keine roten Ränder haben!</t>
    </r>
  </si>
  <si>
    <r>
      <t>Die Markierung bis direkt über '</t>
    </r>
    <r>
      <rPr>
        <b/>
        <u/>
        <sz val="9"/>
        <color rgb="FFC00000"/>
        <rFont val="Arial"/>
        <family val="2"/>
      </rPr>
      <t>^ einfügen</t>
    </r>
    <r>
      <rPr>
        <b/>
        <sz val="9"/>
        <color rgb="FFC00000"/>
        <rFont val="Arial"/>
        <family val="2"/>
      </rPr>
      <t xml:space="preserve">    </t>
    </r>
    <r>
      <rPr>
        <b/>
        <u/>
        <sz val="9"/>
        <color rgb="FFC00000"/>
        <rFont val="Arial"/>
        <family val="2"/>
      </rPr>
      <t>bis hierher ziehen!</t>
    </r>
    <r>
      <rPr>
        <b/>
        <sz val="9"/>
        <color rgb="FFC00000"/>
        <rFont val="Arial"/>
        <family val="2"/>
      </rPr>
      <t>' ziehen, auch wenn Zeilen keine roten Ränder haben!</t>
    </r>
  </si>
  <si>
    <r>
      <rPr>
        <sz val="22"/>
        <color rgb="FFC00000"/>
        <rFont val="Algerian"/>
        <family val="5"/>
      </rPr>
      <t>€</t>
    </r>
    <r>
      <rPr>
        <sz val="12"/>
        <color rgb="FF006666"/>
        <rFont val="Algerian"/>
        <family val="5"/>
      </rPr>
      <t>Flux</t>
    </r>
  </si>
  <si>
    <r>
      <rPr>
        <sz val="18"/>
        <color rgb="FFC00000"/>
        <rFont val="Algerian"/>
        <family val="5"/>
      </rPr>
      <t>€</t>
    </r>
    <r>
      <rPr>
        <sz val="10"/>
        <color rgb="FF006666"/>
        <rFont val="Algerian"/>
        <family val="5"/>
      </rPr>
      <t>FLUX</t>
    </r>
  </si>
  <si>
    <t>Wahl</t>
  </si>
  <si>
    <t>versteuern</t>
  </si>
  <si>
    <t>Abgeltungssteuerberechnung</t>
  </si>
  <si>
    <t>Erfolgsberechnung</t>
  </si>
  <si>
    <t>prüfen</t>
  </si>
  <si>
    <t>Kirche?</t>
  </si>
  <si>
    <t>Soli</t>
  </si>
  <si>
    <t>Ertrag</t>
  </si>
  <si>
    <t>Ek-Steuer</t>
  </si>
  <si>
    <t>Prüfung</t>
  </si>
  <si>
    <t>verbleiben</t>
  </si>
  <si>
    <t>in Depot</t>
  </si>
  <si>
    <t>aus Depot</t>
  </si>
  <si>
    <r>
      <t xml:space="preserve">^Wenn mit  Sel
selektiert  wird,
sind die Saldo-
Zellen gegraut!                   </t>
    </r>
    <r>
      <rPr>
        <b/>
        <sz val="8"/>
        <color theme="0"/>
        <rFont val="Arial"/>
        <family val="2"/>
      </rPr>
      <t xml:space="preserve"> . </t>
    </r>
    <r>
      <rPr>
        <b/>
        <sz val="8"/>
        <color rgb="FFC00000"/>
        <rFont val="Arial"/>
        <family val="2"/>
      </rPr>
      <t xml:space="preserve"> </t>
    </r>
  </si>
  <si>
    <t>ja</t>
  </si>
  <si>
    <t>Anteil</t>
  </si>
  <si>
    <t>verkauft</t>
  </si>
  <si>
    <t>Verrechnungskonto</t>
  </si>
  <si>
    <t>Aktiennamen</t>
  </si>
  <si>
    <r>
      <t xml:space="preserve">Es wird anhand der </t>
    </r>
    <r>
      <rPr>
        <b/>
        <u/>
        <sz val="8"/>
        <color rgb="FF002060"/>
        <rFont val="Arial"/>
        <family val="2"/>
      </rPr>
      <t>jeweiligen Kaufkurse</t>
    </r>
    <r>
      <rPr>
        <b/>
        <sz val="8"/>
        <color rgb="FF002060"/>
        <rFont val="Arial"/>
        <family val="2"/>
      </rPr>
      <t xml:space="preserve"> der vorhanden Einzelposten (first-in-first-out) die zu erwartende Steuer mit </t>
    </r>
    <r>
      <rPr>
        <b/>
        <u/>
        <sz val="8"/>
        <color rgb="FF002060"/>
        <rFont val="Arial"/>
        <family val="2"/>
      </rPr>
      <t>Anrechnung des Verlusttopfs</t>
    </r>
    <r>
      <rPr>
        <b/>
        <sz val="8"/>
        <color rgb="FF002060"/>
        <rFont val="Arial"/>
        <family val="2"/>
      </rPr>
      <t xml:space="preserve"> berechnet.</t>
    </r>
  </si>
  <si>
    <t>Bestand</t>
  </si>
  <si>
    <t>frei</t>
  </si>
  <si>
    <t>offen</t>
  </si>
  <si>
    <t>damals</t>
  </si>
  <si>
    <t>Einstand</t>
  </si>
  <si>
    <t>Erlös</t>
  </si>
  <si>
    <t>jetzt</t>
  </si>
  <si>
    <t>bei Verkauf</t>
  </si>
  <si>
    <t>aktuell:</t>
  </si>
  <si>
    <t>aktuell</t>
  </si>
  <si>
    <t>bisher</t>
  </si>
  <si>
    <t>aktive Aktien</t>
  </si>
  <si>
    <t>Kaufpreis</t>
  </si>
  <si>
    <t>aktueller Wert</t>
  </si>
  <si>
    <t>aktueller Kurs</t>
  </si>
  <si>
    <t>Aktiv?</t>
  </si>
  <si>
    <t>Select?</t>
  </si>
  <si>
    <t xml:space="preserve">Gesamtanzahl </t>
  </si>
  <si>
    <t>Nichtleere Zeilen</t>
  </si>
  <si>
    <t>selektiert</t>
  </si>
  <si>
    <t>voll</t>
  </si>
  <si>
    <t xml:space="preserve"> aktueller Depotwert</t>
  </si>
  <si>
    <t xml:space="preserve">Verlusttopf </t>
  </si>
  <si>
    <t>&lt; Verlusttopf eintragen</t>
  </si>
  <si>
    <t>&lt; Freistellungsauftrag eintragen</t>
  </si>
  <si>
    <r>
      <rPr>
        <b/>
        <sz val="8"/>
        <color rgb="FFC00000"/>
        <rFont val="Wingdings"/>
        <charset val="2"/>
      </rPr>
      <t xml:space="preserve">  Ê</t>
    </r>
    <r>
      <rPr>
        <b/>
        <sz val="8"/>
        <color rgb="FFC00000"/>
        <rFont val="Arial"/>
        <family val="2"/>
      </rPr>
      <t xml:space="preserve"> selektieren, wenn der Depotwert automatisiert weitergeleitet wird ^</t>
    </r>
  </si>
  <si>
    <t>Aktie?</t>
  </si>
  <si>
    <t>aktiv?</t>
  </si>
  <si>
    <t>€-Einlage     ^
$-Bank
§-AGS 
Aktienname</t>
  </si>
  <si>
    <t xml:space="preserve">      ^ Stückzahl, 'Divi' oder eine sonstige Kennzeichnung eintragen.</t>
  </si>
  <si>
    <t>Aktie selektieren ^</t>
  </si>
  <si>
    <t xml:space="preserve">    ^ Stückzahl eintragen</t>
  </si>
  <si>
    <t xml:space="preserve">6  </t>
  </si>
  <si>
    <r>
      <t xml:space="preserve">&lt; Aktie selektieren, die ausgewertet werden soll. Nach dem Eintrag ist eine Selektion mit </t>
    </r>
    <r>
      <rPr>
        <b/>
        <u/>
        <sz val="8"/>
        <color theme="8" tint="-0.249977111117893"/>
        <rFont val="Arial"/>
        <family val="2"/>
      </rPr>
      <t>#</t>
    </r>
    <r>
      <rPr>
        <b/>
        <sz val="8"/>
        <color rgb="FFC00000"/>
        <rFont val="Arial"/>
        <family val="2"/>
      </rPr>
      <t xml:space="preserve"> auszuführen. </t>
    </r>
    <r>
      <rPr>
        <b/>
        <i/>
        <sz val="8"/>
        <color rgb="FFC00000"/>
        <rFont val="Arial"/>
        <family val="2"/>
      </rPr>
      <t>[Vorrang hat (wenn eingetragen) die Aktie bei '</t>
    </r>
    <r>
      <rPr>
        <b/>
        <i/>
        <sz val="8"/>
        <color rgb="FF002060"/>
        <rFont val="Arial"/>
        <family val="2"/>
      </rPr>
      <t>Verkauf</t>
    </r>
    <r>
      <rPr>
        <b/>
        <i/>
        <sz val="8"/>
        <color rgb="FFC00000"/>
        <rFont val="Arial"/>
        <family val="2"/>
      </rPr>
      <t>'!]</t>
    </r>
  </si>
  <si>
    <t>kein Kurs</t>
  </si>
  <si>
    <t>Kurs bei 0</t>
  </si>
  <si>
    <t>Fehler!</t>
  </si>
  <si>
    <t>Fehlerbehandlung</t>
  </si>
  <si>
    <t>:</t>
  </si>
  <si>
    <t>aktuelle aktive Depot-Einlage</t>
  </si>
  <si>
    <r>
      <t>Blatt  vorher mit '</t>
    </r>
    <r>
      <rPr>
        <b/>
        <i/>
        <u/>
        <sz val="8"/>
        <color rgb="FFC00000"/>
        <rFont val="Arial"/>
        <family val="2"/>
      </rPr>
      <t>Überprüfen</t>
    </r>
    <r>
      <rPr>
        <b/>
        <i/>
        <sz val="8"/>
        <color rgb="FF002060"/>
        <rFont val="Arial"/>
        <family val="2"/>
      </rPr>
      <t>' &gt; '</t>
    </r>
    <r>
      <rPr>
        <b/>
        <i/>
        <sz val="8"/>
        <color rgb="FFC00000"/>
        <rFont val="Arial"/>
        <family val="2"/>
      </rPr>
      <t>Blattschutz aufheben</t>
    </r>
    <r>
      <rPr>
        <b/>
        <i/>
        <sz val="8"/>
        <color rgb="FF002060"/>
        <rFont val="Arial"/>
        <family val="2"/>
      </rPr>
      <t>' entsperren und danach mit '</t>
    </r>
    <r>
      <rPr>
        <b/>
        <i/>
        <u/>
        <sz val="8"/>
        <color rgb="FFC00000"/>
        <rFont val="Arial"/>
        <family val="2"/>
      </rPr>
      <t>Überprüfen</t>
    </r>
    <r>
      <rPr>
        <b/>
        <i/>
        <sz val="8"/>
        <color rgb="FF002060"/>
        <rFont val="Arial"/>
        <family val="2"/>
      </rPr>
      <t>' &gt; '</t>
    </r>
    <r>
      <rPr>
        <b/>
        <i/>
        <u/>
        <sz val="8"/>
        <color rgb="FFC00000"/>
        <rFont val="Arial"/>
        <family val="2"/>
      </rPr>
      <t>Blatt schützen</t>
    </r>
    <r>
      <rPr>
        <b/>
        <i/>
        <sz val="8"/>
        <color rgb="FF002060"/>
        <rFont val="Arial"/>
        <family val="2"/>
      </rPr>
      <t>' wieder sperren!</t>
    </r>
  </si>
  <si>
    <r>
      <rPr>
        <b/>
        <i/>
        <sz val="8"/>
        <color rgb="FFFFFF00"/>
        <rFont val="Arial"/>
        <family val="2"/>
      </rPr>
      <t xml:space="preserve">Bei </t>
    </r>
    <r>
      <rPr>
        <b/>
        <i/>
        <sz val="8"/>
        <color rgb="FFFFFF00"/>
        <rFont val="Wingdings"/>
        <charset val="2"/>
      </rPr>
      <t>I</t>
    </r>
    <r>
      <rPr>
        <b/>
        <i/>
        <sz val="8"/>
        <color rgb="FFFFFF00"/>
        <rFont val="Arial"/>
        <family val="2"/>
      </rPr>
      <t xml:space="preserve"> wird der Kurs
manuell eingetragen.</t>
    </r>
  </si>
  <si>
    <r>
      <rPr>
        <b/>
        <i/>
        <sz val="8"/>
        <color rgb="FFFFFF00"/>
        <rFont val="Wingdings"/>
        <charset val="2"/>
      </rPr>
      <t>:</t>
    </r>
    <r>
      <rPr>
        <b/>
        <i/>
        <sz val="8"/>
        <color rgb="FFFFFF00"/>
        <rFont val="Arial"/>
        <family val="2"/>
      </rPr>
      <t xml:space="preserve">   ist der Hinweis, dass  dieses Feld aus
einer anderen Anwendung importiert wird.</t>
    </r>
  </si>
  <si>
    <r>
      <t xml:space="preserve">Nach dem Einfügen (nicht beim Löschen) erscheinen in einigen Zeilen </t>
    </r>
    <r>
      <rPr>
        <b/>
        <u/>
        <sz val="10"/>
        <color rgb="FF002060"/>
        <rFont val="Arial"/>
        <family val="2"/>
      </rPr>
      <t>rote Ränder</t>
    </r>
    <r>
      <rPr>
        <b/>
        <sz val="10"/>
        <color rgb="FF002060"/>
        <rFont val="Arial"/>
        <family val="2"/>
      </rPr>
      <t xml:space="preserve"> links und rechts:</t>
    </r>
  </si>
  <si>
    <t xml:space="preserve">    ^ Mit Stückzahl = 0 werden die aktuellen Werte (Gewinn und Verlust pro Aktien-Tranche) angezeigt.</t>
  </si>
  <si>
    <r>
      <rPr>
        <b/>
        <sz val="9"/>
        <color rgb="FF002060"/>
        <rFont val="Wingdings"/>
        <charset val="2"/>
      </rPr>
      <t>I</t>
    </r>
    <r>
      <rPr>
        <b/>
        <sz val="9"/>
        <color rgb="FF002060"/>
        <rFont val="Arial"/>
        <family val="2"/>
      </rPr>
      <t xml:space="preserve">=   manuell
</t>
    </r>
    <r>
      <rPr>
        <b/>
        <sz val="9"/>
        <color rgb="FF002060"/>
        <rFont val="Wingdings"/>
        <charset val="2"/>
      </rPr>
      <t>Ê</t>
    </r>
    <r>
      <rPr>
        <b/>
        <sz val="9"/>
        <color rgb="FF002060"/>
        <rFont val="Arial"/>
        <family val="2"/>
      </rPr>
      <t xml:space="preserve">= exportiert
</t>
    </r>
    <r>
      <rPr>
        <b/>
        <sz val="9"/>
        <color rgb="FF002060"/>
        <rFont val="Wingdings"/>
        <charset val="2"/>
      </rPr>
      <t>:</t>
    </r>
    <r>
      <rPr>
        <b/>
        <sz val="9"/>
        <color rgb="FF002060"/>
        <rFont val="Arial"/>
        <family val="2"/>
      </rPr>
      <t>= importiert</t>
    </r>
  </si>
  <si>
    <t>Abzug</t>
  </si>
  <si>
    <t>GuV</t>
  </si>
  <si>
    <t>aktueller Depot-Wert</t>
  </si>
  <si>
    <t>Erfolg der aktuellen aktiven Aktien</t>
  </si>
  <si>
    <t>I</t>
  </si>
  <si>
    <t>&lt;Salden gesamtes Depot&gt;</t>
  </si>
  <si>
    <t>geschlossene Aktien</t>
  </si>
  <si>
    <t>!&gt;Einzelauswahl</t>
  </si>
  <si>
    <t>&gt; Depot</t>
  </si>
  <si>
    <t>Selektion</t>
  </si>
  <si>
    <t>&lt; nein</t>
  </si>
  <si>
    <t>Verkaufszahl löschen!</t>
  </si>
  <si>
    <t>sortiert</t>
  </si>
  <si>
    <t>__________</t>
  </si>
  <si>
    <t>Verkaufsabsicht</t>
  </si>
  <si>
    <t>Einträge in 'Aktie' &gt;</t>
  </si>
  <si>
    <t>Aktie/Vorgang</t>
  </si>
  <si>
    <t>gesamte Zeilen&gt;</t>
  </si>
  <si>
    <t>&lt;selektiert</t>
  </si>
  <si>
    <t>Selekt:</t>
  </si>
  <si>
    <t>Selektion hierfür aktiv &gt;</t>
  </si>
  <si>
    <t>Netto-Erfolg</t>
  </si>
  <si>
    <t>Gewinn/Verlust</t>
  </si>
  <si>
    <t>Kirchensteuer</t>
  </si>
  <si>
    <t>4 Aktien</t>
  </si>
  <si>
    <t>&lt; manuellen Wert eintragen</t>
  </si>
  <si>
    <r>
      <rPr>
        <b/>
        <u/>
        <sz val="8"/>
        <color rgb="FF215967"/>
        <rFont val="Arial"/>
        <family val="2"/>
      </rPr>
      <t>&lt; ja</t>
    </r>
    <r>
      <rPr>
        <b/>
        <sz val="8"/>
        <color rgb="FFC00000"/>
        <rFont val="Arial"/>
        <family val="2"/>
      </rPr>
      <t xml:space="preserve"> | </t>
    </r>
    <r>
      <rPr>
        <b/>
        <u/>
        <sz val="8"/>
        <color rgb="FF215967"/>
        <rFont val="Arial"/>
        <family val="2"/>
      </rPr>
      <t>&lt; nein</t>
    </r>
    <r>
      <rPr>
        <b/>
        <sz val="8"/>
        <color rgb="FFC00000"/>
        <rFont val="Arial"/>
        <family val="2"/>
      </rPr>
      <t xml:space="preserve"> | </t>
    </r>
    <r>
      <rPr>
        <b/>
        <u/>
        <sz val="8"/>
        <color theme="9" tint="-0.499984740745262"/>
        <rFont val="Arial"/>
        <family val="2"/>
      </rPr>
      <t>Wert  manuell [-]</t>
    </r>
  </si>
  <si>
    <t>&lt; ja</t>
  </si>
  <si>
    <r>
      <t xml:space="preserve">        ^ '</t>
    </r>
    <r>
      <rPr>
        <b/>
        <u/>
        <sz val="8"/>
        <color theme="8" tint="-0.499984740745262"/>
        <rFont val="Arial"/>
        <family val="2"/>
      </rPr>
      <t>ja</t>
    </r>
    <r>
      <rPr>
        <b/>
        <sz val="8"/>
        <color rgb="FFC00000"/>
        <rFont val="Arial"/>
        <family val="2"/>
      </rPr>
      <t>' oder '</t>
    </r>
    <r>
      <rPr>
        <b/>
        <u/>
        <sz val="8"/>
        <color theme="8" tint="-0.499984740745262"/>
        <rFont val="Arial"/>
        <family val="2"/>
      </rPr>
      <t>nein</t>
    </r>
    <r>
      <rPr>
        <b/>
        <sz val="8"/>
        <color rgb="FFC00000"/>
        <rFont val="Arial"/>
        <family val="2"/>
      </rPr>
      <t>' zum Kirchensteuerabzug</t>
    </r>
  </si>
  <si>
    <t>Andere Felder werden vom Programm automatisch berechnet.</t>
  </si>
  <si>
    <r>
      <t xml:space="preserve">Die gelben Felder können  </t>
    </r>
    <r>
      <rPr>
        <b/>
        <sz val="14"/>
        <color rgb="FFC00000"/>
        <rFont val="Arial"/>
        <family val="2"/>
      </rPr>
      <t xml:space="preserve">ausgefüllt  </t>
    </r>
    <r>
      <rPr>
        <b/>
        <sz val="14"/>
        <color rgb="FF002060"/>
        <rFont val="Arial"/>
        <family val="2"/>
      </rPr>
      <t>oder</t>
    </r>
    <r>
      <rPr>
        <b/>
        <sz val="14"/>
        <color rgb="FFC00000"/>
        <rFont val="Arial"/>
        <family val="2"/>
      </rPr>
      <t xml:space="preserve">  selektiert  </t>
    </r>
    <r>
      <rPr>
        <b/>
        <sz val="14"/>
        <color rgb="FF002060"/>
        <rFont val="Arial"/>
        <family val="2"/>
      </rPr>
      <t>werden.</t>
    </r>
  </si>
  <si>
    <r>
      <rPr>
        <b/>
        <i/>
        <u/>
        <sz val="8"/>
        <color rgb="FF002060"/>
        <rFont val="Arial"/>
        <family val="2"/>
      </rPr>
      <t>Empfohlen</t>
    </r>
    <r>
      <rPr>
        <b/>
        <sz val="8"/>
        <color rgb="FF002060"/>
        <rFont val="Arial"/>
        <family val="2"/>
      </rPr>
      <t>: Zum Schutz vor versehentlicher
Überschreibung sind die nicht-gelben Felder
zu sperren mit [Überprüfen | Blatt schützen].</t>
    </r>
  </si>
  <si>
    <t>nein</t>
  </si>
  <si>
    <t>zu versteuern &gt;</t>
  </si>
  <si>
    <t>ohne Kirchensteuer</t>
  </si>
  <si>
    <t xml:space="preserve"> &lt; Aktie</t>
  </si>
  <si>
    <t>selektierter Bestand:</t>
  </si>
  <si>
    <t>Aktien aktiv</t>
  </si>
  <si>
    <t>Aktien historisch</t>
  </si>
  <si>
    <t>Version 25-032</t>
  </si>
  <si>
    <t>aktiv</t>
  </si>
  <si>
    <t>historisch</t>
  </si>
  <si>
    <t xml:space="preserve">selektiert: </t>
  </si>
  <si>
    <t>Depot aktiv</t>
  </si>
  <si>
    <t>Depot historisch</t>
  </si>
  <si>
    <t xml:space="preserve"> Mit Sel (Selektion) kann die Anzeige komprimiert werden, um eine bessere Übersicht zu erhalten. </t>
  </si>
  <si>
    <r>
      <rPr>
        <b/>
        <sz val="8"/>
        <color rgb="FFC00000"/>
        <rFont val="Arial"/>
        <family val="2"/>
      </rPr>
      <t>!</t>
    </r>
    <r>
      <rPr>
        <b/>
        <sz val="8"/>
        <color rgb="FF006666"/>
        <rFont val="Arial"/>
        <family val="2"/>
      </rPr>
      <t xml:space="preserve"> ist </t>
    </r>
    <r>
      <rPr>
        <b/>
        <u/>
        <sz val="8"/>
        <color rgb="FF006666"/>
        <rFont val="Arial"/>
        <family val="2"/>
      </rPr>
      <t>immer zu selektieren</t>
    </r>
    <r>
      <rPr>
        <b/>
        <sz val="8"/>
        <color rgb="FF006666"/>
        <rFont val="Arial"/>
        <family val="2"/>
      </rPr>
      <t xml:space="preserve">, </t>
    </r>
    <r>
      <rPr>
        <b/>
        <sz val="8"/>
        <color rgb="FFC00000"/>
        <rFont val="Arial"/>
        <family val="2"/>
      </rPr>
      <t>Verkauf</t>
    </r>
    <r>
      <rPr>
        <b/>
        <sz val="8"/>
        <color rgb="FF006666"/>
        <rFont val="Arial"/>
        <family val="2"/>
      </rPr>
      <t xml:space="preserve"> zeigt die Verkaufs-Simulation, </t>
    </r>
    <r>
      <rPr>
        <b/>
        <sz val="8"/>
        <color rgb="FFC00000"/>
        <rFont val="Arial"/>
        <family val="2"/>
      </rPr>
      <t>!&gt;Einzelauswahl</t>
    </r>
    <r>
      <rPr>
        <b/>
        <sz val="8"/>
        <color rgb="FF006666"/>
        <rFont val="Arial"/>
        <family val="2"/>
      </rPr>
      <t xml:space="preserve"> erscheint bei Auswahl einer einzelnen Aktie.</t>
    </r>
  </si>
  <si>
    <r>
      <t xml:space="preserve">Selektionen falls vorhanden: | </t>
    </r>
    <r>
      <rPr>
        <b/>
        <u/>
        <sz val="8"/>
        <color rgb="FF002060"/>
        <rFont val="Arial"/>
        <family val="2"/>
      </rPr>
      <t>Verrechnungskonto</t>
    </r>
    <r>
      <rPr>
        <b/>
        <sz val="8"/>
        <color rgb="FF002060"/>
        <rFont val="Arial"/>
        <family val="2"/>
      </rPr>
      <t xml:space="preserve">: </t>
    </r>
    <r>
      <rPr>
        <b/>
        <sz val="8"/>
        <color rgb="FFC00000"/>
        <rFont val="Arial"/>
        <family val="2"/>
      </rPr>
      <t>§-AGS</t>
    </r>
    <r>
      <rPr>
        <b/>
        <sz val="8"/>
        <color rgb="FF002060"/>
        <rFont val="Arial"/>
        <family val="2"/>
      </rPr>
      <t xml:space="preserve"> - </t>
    </r>
    <r>
      <rPr>
        <b/>
        <sz val="8"/>
        <color rgb="FFC00000"/>
        <rFont val="Arial"/>
        <family val="2"/>
      </rPr>
      <t>$-Bank</t>
    </r>
    <r>
      <rPr>
        <b/>
        <sz val="8"/>
        <color rgb="FF002060"/>
        <rFont val="Arial"/>
        <family val="2"/>
      </rPr>
      <t xml:space="preserve"> - </t>
    </r>
    <r>
      <rPr>
        <b/>
        <sz val="8"/>
        <color rgb="FFC00000"/>
        <rFont val="Arial"/>
        <family val="2"/>
      </rPr>
      <t>€-Einlage</t>
    </r>
    <r>
      <rPr>
        <b/>
        <sz val="8"/>
        <color rgb="FF002060"/>
        <rFont val="Arial"/>
        <family val="2"/>
      </rPr>
      <t xml:space="preserve"> - </t>
    </r>
    <r>
      <rPr>
        <b/>
        <sz val="8"/>
        <color rgb="FFC00000"/>
        <rFont val="Arial"/>
        <family val="2"/>
      </rPr>
      <t>Aktien aktiv</t>
    </r>
    <r>
      <rPr>
        <b/>
        <sz val="8"/>
        <color rgb="FF002060"/>
        <rFont val="Arial"/>
        <family val="2"/>
      </rPr>
      <t xml:space="preserve"> - </t>
    </r>
    <r>
      <rPr>
        <b/>
        <sz val="8"/>
        <color rgb="FFC00000"/>
        <rFont val="Arial"/>
        <family val="2"/>
      </rPr>
      <t>Aktien historisch</t>
    </r>
    <r>
      <rPr>
        <b/>
        <sz val="8"/>
        <color rgb="FF002060"/>
        <rFont val="Arial"/>
        <family val="2"/>
      </rPr>
      <t xml:space="preserve">  |  </t>
    </r>
    <r>
      <rPr>
        <b/>
        <u/>
        <sz val="8"/>
        <color rgb="FF002060"/>
        <rFont val="Arial"/>
        <family val="2"/>
      </rPr>
      <t>Depot</t>
    </r>
    <r>
      <rPr>
        <b/>
        <sz val="8"/>
        <color rgb="FF002060"/>
        <rFont val="Arial"/>
        <family val="2"/>
      </rPr>
      <t xml:space="preserve">: </t>
    </r>
    <r>
      <rPr>
        <b/>
        <sz val="8"/>
        <color rgb="FFC00000"/>
        <rFont val="Arial"/>
        <family val="2"/>
      </rPr>
      <t>Depot aktiv</t>
    </r>
    <r>
      <rPr>
        <b/>
        <sz val="8"/>
        <color rgb="FF002060"/>
        <rFont val="Arial"/>
        <family val="2"/>
      </rPr>
      <t xml:space="preserve"> - </t>
    </r>
    <r>
      <rPr>
        <b/>
        <sz val="8"/>
        <color rgb="FFC00000"/>
        <rFont val="Arial"/>
        <family val="2"/>
      </rPr>
      <t>Depot historisch</t>
    </r>
    <r>
      <rPr>
        <b/>
        <sz val="8"/>
        <color rgb="FF002060"/>
        <rFont val="Arial"/>
        <family val="2"/>
      </rPr>
      <t xml:space="preserve">  |  </t>
    </r>
    <r>
      <rPr>
        <b/>
        <u/>
        <sz val="8"/>
        <color rgb="FF002060"/>
        <rFont val="Arial"/>
        <family val="2"/>
      </rPr>
      <t>Verkauf</t>
    </r>
    <r>
      <rPr>
        <b/>
        <sz val="8"/>
        <color rgb="FF002060"/>
        <rFont val="Arial"/>
        <family val="2"/>
      </rPr>
      <t xml:space="preserve">: </t>
    </r>
    <r>
      <rPr>
        <b/>
        <sz val="8"/>
        <color rgb="FFC00000"/>
        <rFont val="Arial"/>
        <family val="2"/>
      </rPr>
      <t>Verkauf</t>
    </r>
  </si>
  <si>
    <t>Depot-Eigentümer</t>
  </si>
  <si>
    <t>Aktie-1</t>
  </si>
  <si>
    <t>Aktie-2</t>
  </si>
  <si>
    <t>Aktie-3</t>
  </si>
  <si>
    <t>Aktie-4</t>
  </si>
  <si>
    <t>Aktie-5</t>
  </si>
  <si>
    <t>Aktie-6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</si>
</sst>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4" formatCode="_-* #,##0.00\ &quot;€&quot;_-;\-* #,##0.00\ &quot;€&quot;_-;_-* &quot;-&quot;??\ &quot;€&quot;_-;_-@_-"/>
    <numFmt numFmtId="164" formatCode="0_)"/>
    <numFmt numFmtId="165" formatCode="#,##0.00_);[Red]\(#,##0.00\)"/>
    <numFmt numFmtId="166" formatCode="0.00_ ;[Red]\-0.00\ "/>
    <numFmt numFmtId="167" formatCode="#,##0.00\ [$€-1]"/>
    <numFmt numFmtId="168" formatCode="yyyy"/>
    <numFmt numFmtId="169" formatCode="#,##0_ ;[Red]\-#,##0\ "/>
    <numFmt numFmtId="170" formatCode="#,##0.00_ ;[Red]\-#,##0.00\ "/>
    <numFmt numFmtId="171" formatCode="0.0%"/>
    <numFmt numFmtId="172" formatCode="#,##0.00_ ;\-#,##0.00\ "/>
    <numFmt numFmtId="173" formatCode="#,##0.00_ ;[Red]\-#,##0.00\ &quot; Verlusttopf&quot;"/>
    <numFmt numFmtId="174" formatCode="#,##0;[Red]#,##0"/>
    <numFmt numFmtId="175" formatCode="#,##0_ ;\-#,##0\ "/>
    <numFmt numFmtId="176" formatCode="0.000%"/>
    <numFmt numFmtId="177" formatCode="#,##0.000_);[Red]\(#,##0.000\)"/>
    <numFmt numFmtId="178" formatCode="#,##0.000_ ;[Red]\-#,##0.000\ "/>
    <numFmt numFmtId="179" formatCode="#,##0_);[Red]\(#,##0\)"/>
    <numFmt numFmtId="180" formatCode="#,##0&quot; Aktien&quot;"/>
    <numFmt numFmtId="181" formatCode="#,##0.00_ ;[Red]\-#,##0.00\ &quot; AGS&quot;"/>
    <numFmt numFmtId="182" formatCode="#,##0.00_ ;\-#,##0.00\ &quot; AGS&quot;"/>
    <numFmt numFmtId="183" formatCode="#,##0.00_ ;\-#,##0.00\ &quot; Soli&quot;"/>
    <numFmt numFmtId="184" formatCode="#,##0.00_ ;\-#,##0.00\ &quot; KiSt&quot;"/>
    <numFmt numFmtId="185" formatCode="#,##0.00&quot; Gewinn&quot;\ ;\-#,##0.00&quot; Verlust&quot;"/>
    <numFmt numFmtId="186" formatCode="0.0%&quot; der Gesamt-Einlage &quot;"/>
    <numFmt numFmtId="187" formatCode="0.0%&quot; der Gesamt-Einlage&quot;"/>
    <numFmt numFmtId="188" formatCode="#,##0.00&quot; nach AGS&quot;\ ;\-#,##0.00"/>
    <numFmt numFmtId="189" formatCode="hh:mm&quot; Uhr &quot;;@"/>
    <numFmt numFmtId="190" formatCode="&quot;Kurs &quot;#,##0.000_ ;\-#,##0.000\ "/>
  </numFmts>
  <fonts count="252">
    <font>
      <sz val="12"/>
      <name val="Helv"/>
    </font>
    <font>
      <sz val="10"/>
      <color theme="1"/>
      <name val="Arial"/>
      <family val="2"/>
    </font>
    <font>
      <sz val="12"/>
      <color indexed="17"/>
      <name val="Helv"/>
    </font>
    <font>
      <sz val="12"/>
      <name val="Helv"/>
    </font>
    <font>
      <b/>
      <sz val="12"/>
      <name val="Arial"/>
      <family val="2"/>
    </font>
    <font>
      <b/>
      <sz val="12"/>
      <color indexed="17"/>
      <name val="Arial"/>
      <family val="2"/>
    </font>
    <font>
      <sz val="12"/>
      <name val="Arial"/>
      <family val="2"/>
    </font>
    <font>
      <b/>
      <sz val="14"/>
      <name val="Arial"/>
      <family val="2"/>
    </font>
    <font>
      <b/>
      <sz val="20"/>
      <name val="Arial"/>
      <family val="2"/>
    </font>
    <font>
      <sz val="12"/>
      <color indexed="17"/>
      <name val="Arial"/>
      <family val="2"/>
    </font>
    <font>
      <b/>
      <i/>
      <sz val="12"/>
      <color indexed="8"/>
      <name val="Arial"/>
      <family val="2"/>
    </font>
    <font>
      <b/>
      <u/>
      <sz val="20"/>
      <name val="Arial"/>
      <family val="2"/>
    </font>
    <font>
      <b/>
      <sz val="10"/>
      <color indexed="48"/>
      <name val="Arial"/>
      <family val="2"/>
    </font>
    <font>
      <b/>
      <i/>
      <sz val="12"/>
      <color theme="9" tint="-0.499984740745262"/>
      <name val="Arial"/>
      <family val="2"/>
    </font>
    <font>
      <b/>
      <sz val="12"/>
      <color rgb="FF002060"/>
      <name val="Arial"/>
      <family val="2"/>
    </font>
    <font>
      <sz val="12"/>
      <color rgb="FF002060"/>
      <name val="Arial"/>
      <family val="2"/>
    </font>
    <font>
      <b/>
      <sz val="10"/>
      <color rgb="FF002060"/>
      <name val="Arial"/>
      <family val="2"/>
    </font>
    <font>
      <sz val="12"/>
      <color rgb="FF002060"/>
      <name val="Helv"/>
    </font>
    <font>
      <b/>
      <i/>
      <sz val="12"/>
      <color rgb="FFFF0000"/>
      <name val="Arial"/>
      <family val="2"/>
    </font>
    <font>
      <b/>
      <sz val="10"/>
      <color rgb="FF008080"/>
      <name val="Arial"/>
      <family val="2"/>
    </font>
    <font>
      <b/>
      <sz val="12"/>
      <color theme="1"/>
      <name val="Arial"/>
      <family val="2"/>
    </font>
    <font>
      <sz val="12"/>
      <color theme="1"/>
      <name val="Arial"/>
      <family val="2"/>
    </font>
    <font>
      <sz val="12"/>
      <color theme="1"/>
      <name val="Helv"/>
    </font>
    <font>
      <b/>
      <i/>
      <sz val="10"/>
      <color rgb="FF002060"/>
      <name val="Arial"/>
      <family val="2"/>
    </font>
    <font>
      <sz val="10"/>
      <name val="Arial"/>
      <family val="2"/>
    </font>
    <font>
      <b/>
      <sz val="12"/>
      <color theme="8" tint="-0.499984740745262"/>
      <name val="Arial"/>
      <family val="2"/>
    </font>
    <font>
      <b/>
      <sz val="20"/>
      <color theme="8" tint="-0.499984740745262"/>
      <name val="Arial"/>
      <family val="2"/>
    </font>
    <font>
      <b/>
      <i/>
      <sz val="12"/>
      <color theme="8" tint="-0.499984740745262"/>
      <name val="Arial"/>
      <family val="2"/>
    </font>
    <font>
      <sz val="10"/>
      <color theme="8" tint="-0.499984740745262"/>
      <name val="Arial"/>
      <family val="2"/>
    </font>
    <font>
      <sz val="12"/>
      <color theme="8" tint="-0.499984740745262"/>
      <name val="Arial"/>
      <family val="2"/>
    </font>
    <font>
      <b/>
      <u/>
      <sz val="20"/>
      <color theme="8" tint="-0.499984740745262"/>
      <name val="Arial"/>
      <family val="2"/>
    </font>
    <font>
      <sz val="12"/>
      <color theme="8" tint="-0.499984740745262"/>
      <name val="Helv"/>
    </font>
    <font>
      <sz val="11"/>
      <name val="Arial"/>
      <family val="2"/>
    </font>
    <font>
      <sz val="11"/>
      <color rgb="FF002060"/>
      <name val="Arial"/>
      <family val="2"/>
    </font>
    <font>
      <sz val="10"/>
      <color rgb="FF006100"/>
      <name val="Arial"/>
      <family val="2"/>
    </font>
    <font>
      <b/>
      <i/>
      <sz val="12"/>
      <color rgb="FF002060"/>
      <name val="Arial"/>
      <family val="2"/>
    </font>
    <font>
      <b/>
      <sz val="10"/>
      <color rgb="FF006666"/>
      <name val="Arial"/>
      <family val="2"/>
    </font>
    <font>
      <b/>
      <i/>
      <sz val="10"/>
      <color rgb="FFC00000"/>
      <name val="Arial"/>
      <family val="2"/>
    </font>
    <font>
      <b/>
      <sz val="8"/>
      <color theme="0"/>
      <name val="Arial"/>
      <family val="2"/>
    </font>
    <font>
      <sz val="9"/>
      <color theme="0"/>
      <name val="Arial"/>
      <family val="2"/>
    </font>
    <font>
      <sz val="8"/>
      <color theme="0"/>
      <name val="Arial"/>
      <family val="2"/>
    </font>
    <font>
      <b/>
      <sz val="10"/>
      <color rgb="FF7030A0"/>
      <name val="Arial"/>
      <family val="2"/>
    </font>
    <font>
      <b/>
      <i/>
      <sz val="10"/>
      <color rgb="FF7030A0"/>
      <name val="Arial"/>
      <family val="2"/>
    </font>
    <font>
      <b/>
      <i/>
      <sz val="10"/>
      <color indexed="21"/>
      <name val="Arial"/>
      <family val="2"/>
    </font>
    <font>
      <b/>
      <sz val="9"/>
      <color theme="8" tint="-0.499984740745262"/>
      <name val="Arial"/>
      <family val="2"/>
    </font>
    <font>
      <b/>
      <sz val="9"/>
      <color rgb="FF002060"/>
      <name val="Arial"/>
      <family val="2"/>
    </font>
    <font>
      <b/>
      <sz val="9"/>
      <color rgb="FFC00000"/>
      <name val="Arial"/>
      <family val="2"/>
    </font>
    <font>
      <b/>
      <sz val="9"/>
      <color rgb="FF006666"/>
      <name val="Arial"/>
      <family val="2"/>
    </font>
    <font>
      <b/>
      <sz val="9"/>
      <color rgb="FF7030A0"/>
      <name val="Arial"/>
      <family val="2"/>
    </font>
    <font>
      <sz val="9"/>
      <name val="Arial"/>
      <family val="2"/>
    </font>
    <font>
      <b/>
      <i/>
      <sz val="10"/>
      <color rgb="FFFFFF00"/>
      <name val="Arial"/>
      <family val="2"/>
    </font>
    <font>
      <b/>
      <sz val="10"/>
      <color theme="1" tint="0.249977111117893"/>
      <name val="Arial"/>
      <family val="2"/>
    </font>
    <font>
      <b/>
      <i/>
      <sz val="10"/>
      <color theme="1" tint="0.249977111117893"/>
      <name val="Arial"/>
      <family val="2"/>
    </font>
    <font>
      <b/>
      <sz val="9"/>
      <color theme="1" tint="0.249977111117893"/>
      <name val="Arial"/>
      <family val="2"/>
    </font>
    <font>
      <b/>
      <i/>
      <sz val="8"/>
      <color rgb="FF002060"/>
      <name val="Arial"/>
      <family val="2"/>
    </font>
    <font>
      <b/>
      <sz val="9"/>
      <color rgb="FF008080"/>
      <name val="Arial"/>
      <family val="2"/>
    </font>
    <font>
      <b/>
      <i/>
      <sz val="11"/>
      <color rgb="FFFFFF00"/>
      <name val="Arial"/>
      <family val="2"/>
    </font>
    <font>
      <sz val="12"/>
      <color theme="0"/>
      <name val="Arial"/>
      <family val="2"/>
    </font>
    <font>
      <sz val="11"/>
      <color theme="0"/>
      <name val="Arial"/>
      <family val="2"/>
    </font>
    <font>
      <sz val="12"/>
      <color theme="0"/>
      <name val="Helv"/>
    </font>
    <font>
      <b/>
      <i/>
      <sz val="20"/>
      <color indexed="8"/>
      <name val="Arial"/>
      <family val="2"/>
    </font>
    <font>
      <b/>
      <sz val="10"/>
      <name val="Arial"/>
      <family val="2"/>
    </font>
    <font>
      <b/>
      <sz val="10"/>
      <color rgb="FFC00000"/>
      <name val="Arial"/>
      <family val="2"/>
    </font>
    <font>
      <b/>
      <sz val="6"/>
      <color theme="0" tint="-0.499984740745262"/>
      <name val="Arial"/>
      <family val="2"/>
    </font>
    <font>
      <b/>
      <sz val="11"/>
      <color rgb="FF006666"/>
      <name val="Arial"/>
      <family val="2"/>
    </font>
    <font>
      <sz val="8"/>
      <name val="Helv"/>
    </font>
    <font>
      <b/>
      <sz val="8"/>
      <color theme="0" tint="-0.499984740745262"/>
      <name val="Arial"/>
      <family val="2"/>
    </font>
    <font>
      <b/>
      <i/>
      <sz val="14"/>
      <color rgb="FF002060"/>
      <name val="Arial"/>
      <family val="2"/>
    </font>
    <font>
      <b/>
      <sz val="8"/>
      <color rgb="FF002060"/>
      <name val="Arial"/>
      <family val="2"/>
    </font>
    <font>
      <b/>
      <i/>
      <sz val="11"/>
      <color theme="0"/>
      <name val="Arial"/>
      <family val="2"/>
    </font>
    <font>
      <b/>
      <i/>
      <sz val="8"/>
      <color rgb="FFC00000"/>
      <name val="Arial"/>
      <family val="2"/>
    </font>
    <font>
      <b/>
      <i/>
      <sz val="8"/>
      <color indexed="21"/>
      <name val="Arial"/>
      <family val="2"/>
    </font>
    <font>
      <b/>
      <i/>
      <sz val="8"/>
      <color theme="1" tint="0.249977111117893"/>
      <name val="Arial"/>
      <family val="2"/>
    </font>
    <font>
      <b/>
      <i/>
      <sz val="8"/>
      <color rgb="FF7030A0"/>
      <name val="Arial"/>
      <family val="2"/>
    </font>
    <font>
      <b/>
      <i/>
      <sz val="8"/>
      <color rgb="FFFFFF00"/>
      <name val="Arial"/>
      <family val="2"/>
    </font>
    <font>
      <sz val="8"/>
      <name val="Arial"/>
      <family val="2"/>
    </font>
    <font>
      <sz val="8"/>
      <color rgb="FF002060"/>
      <name val="Arial"/>
      <family val="2"/>
    </font>
    <font>
      <b/>
      <i/>
      <sz val="12"/>
      <color rgb="FF7030A0"/>
      <name val="Arial"/>
      <family val="2"/>
    </font>
    <font>
      <b/>
      <sz val="10"/>
      <color theme="9" tint="-0.499984740745262"/>
      <name val="Arial"/>
      <family val="2"/>
    </font>
    <font>
      <b/>
      <sz val="8"/>
      <color rgb="FF006666"/>
      <name val="Arial"/>
      <family val="2"/>
    </font>
    <font>
      <b/>
      <i/>
      <sz val="9"/>
      <color rgb="FF006666"/>
      <name val="Arial"/>
      <family val="2"/>
    </font>
    <font>
      <b/>
      <sz val="8"/>
      <color rgb="FFC00000"/>
      <name val="Arial"/>
      <family val="2"/>
    </font>
    <font>
      <b/>
      <i/>
      <sz val="10"/>
      <color rgb="FF006666"/>
      <name val="Arial"/>
      <family val="2"/>
    </font>
    <font>
      <b/>
      <sz val="12"/>
      <color rgb="FFC00000"/>
      <name val="Arial"/>
      <family val="2"/>
    </font>
    <font>
      <b/>
      <i/>
      <sz val="12"/>
      <color rgb="FFC00000"/>
      <name val="Arial"/>
      <family val="2"/>
    </font>
    <font>
      <sz val="11"/>
      <color rgb="FFC00000"/>
      <name val="Arial"/>
      <family val="2"/>
    </font>
    <font>
      <sz val="12"/>
      <color rgb="FFC00000"/>
      <name val="Arial"/>
      <family val="2"/>
    </font>
    <font>
      <b/>
      <sz val="20"/>
      <color rgb="FFC00000"/>
      <name val="Arial"/>
      <family val="2"/>
    </font>
    <font>
      <b/>
      <u/>
      <sz val="20"/>
      <color rgb="FFC00000"/>
      <name val="Arial"/>
      <family val="2"/>
    </font>
    <font>
      <sz val="12"/>
      <color rgb="FFC00000"/>
      <name val="Helv"/>
    </font>
    <font>
      <b/>
      <sz val="12"/>
      <color rgb="FF7030A0"/>
      <name val="Arial"/>
      <family val="2"/>
    </font>
    <font>
      <b/>
      <i/>
      <sz val="9"/>
      <color rgb="FF7030A0"/>
      <name val="Arial"/>
      <family val="2"/>
    </font>
    <font>
      <b/>
      <sz val="8"/>
      <color rgb="FF7030A0"/>
      <name val="Arial"/>
      <family val="2"/>
    </font>
    <font>
      <sz val="12"/>
      <color rgb="FF7030A0"/>
      <name val="Arial"/>
      <family val="2"/>
    </font>
    <font>
      <sz val="12"/>
      <color rgb="FF7030A0"/>
      <name val="Helv"/>
    </font>
    <font>
      <b/>
      <sz val="10"/>
      <color theme="8" tint="0.79998168889431442"/>
      <name val="Arial"/>
      <family val="2"/>
    </font>
    <font>
      <b/>
      <sz val="10"/>
      <color theme="8" tint="0.59999389629810485"/>
      <name val="Arial"/>
      <family val="2"/>
    </font>
    <font>
      <b/>
      <i/>
      <sz val="10"/>
      <color theme="5" tint="-0.249977111117893"/>
      <name val="Arial"/>
      <family val="2"/>
    </font>
    <font>
      <b/>
      <i/>
      <sz val="10"/>
      <color theme="9" tint="-0.499984740745262"/>
      <name val="Arial"/>
      <family val="2"/>
    </font>
    <font>
      <sz val="8"/>
      <color theme="0"/>
      <name val="Helv"/>
    </font>
    <font>
      <b/>
      <sz val="8"/>
      <color theme="1"/>
      <name val="Arial"/>
      <family val="2"/>
    </font>
    <font>
      <i/>
      <sz val="6"/>
      <color theme="0"/>
      <name val="Arial"/>
      <family val="2"/>
    </font>
    <font>
      <b/>
      <i/>
      <sz val="8"/>
      <color theme="0"/>
      <name val="Arial"/>
      <family val="2"/>
    </font>
    <font>
      <b/>
      <sz val="10"/>
      <color theme="0"/>
      <name val="Arial"/>
      <family val="2"/>
    </font>
    <font>
      <sz val="8"/>
      <color rgb="FFC00000"/>
      <name val="Arial"/>
      <family val="2"/>
    </font>
    <font>
      <b/>
      <sz val="10"/>
      <color rgb="FF002060"/>
      <name val="Wingdings"/>
      <charset val="2"/>
    </font>
    <font>
      <b/>
      <i/>
      <sz val="18"/>
      <color theme="8" tint="-0.499984740745262"/>
      <name val="Arial"/>
      <family val="2"/>
    </font>
    <font>
      <b/>
      <sz val="10"/>
      <color rgb="FF006666"/>
      <name val="Wingdings"/>
      <charset val="2"/>
    </font>
    <font>
      <b/>
      <sz val="11"/>
      <color rgb="FF002060"/>
      <name val="Arial"/>
      <family val="2"/>
    </font>
    <font>
      <b/>
      <sz val="8"/>
      <color rgb="FFFFFFCC"/>
      <name val="Arial"/>
      <family val="2"/>
    </font>
    <font>
      <b/>
      <sz val="10"/>
      <color theme="0" tint="-0.499984740745262"/>
      <name val="Arial"/>
      <family val="2"/>
    </font>
    <font>
      <b/>
      <sz val="9"/>
      <color theme="0" tint="-0.499984740745262"/>
      <name val="Arial"/>
      <family val="2"/>
    </font>
    <font>
      <b/>
      <sz val="11"/>
      <color theme="0" tint="-0.499984740745262"/>
      <name val="Arial"/>
      <family val="2"/>
    </font>
    <font>
      <sz val="8"/>
      <color theme="0" tint="-0.499984740745262"/>
      <name val="Arial"/>
      <family val="2"/>
    </font>
    <font>
      <sz val="6"/>
      <color theme="0" tint="-0.499984740745262"/>
      <name val="Arial"/>
      <family val="2"/>
    </font>
    <font>
      <sz val="12"/>
      <color theme="0" tint="-0.499984740745262"/>
      <name val="Arial"/>
      <family val="2"/>
    </font>
    <font>
      <b/>
      <i/>
      <sz val="12"/>
      <color theme="0" tint="-0.499984740745262"/>
      <name val="Arial"/>
      <family val="2"/>
    </font>
    <font>
      <b/>
      <i/>
      <sz val="9"/>
      <color theme="0" tint="-0.499984740745262"/>
      <name val="Arial"/>
      <family val="2"/>
    </font>
    <font>
      <b/>
      <i/>
      <sz val="8"/>
      <color theme="0" tint="-0.499984740745262"/>
      <name val="Arial"/>
      <family val="2"/>
    </font>
    <font>
      <b/>
      <i/>
      <sz val="10"/>
      <color theme="0" tint="-0.499984740745262"/>
      <name val="Arial"/>
      <family val="2"/>
    </font>
    <font>
      <i/>
      <sz val="6"/>
      <color theme="0" tint="-0.499984740745262"/>
      <name val="Arial"/>
      <family val="2"/>
    </font>
    <font>
      <b/>
      <sz val="8"/>
      <color rgb="FFFFFF00"/>
      <name val="Arial"/>
      <family val="2"/>
    </font>
    <font>
      <b/>
      <sz val="8"/>
      <color rgb="FFC00000"/>
      <name val="Wingdings"/>
      <charset val="2"/>
    </font>
    <font>
      <b/>
      <sz val="8"/>
      <color rgb="FFC00000"/>
      <name val="Arial"/>
      <family val="2"/>
      <charset val="2"/>
    </font>
    <font>
      <b/>
      <sz val="6"/>
      <color rgb="FFFFFF00"/>
      <name val="Arial"/>
      <family val="2"/>
    </font>
    <font>
      <b/>
      <sz val="14"/>
      <color rgb="FF002060"/>
      <name val="Arial"/>
      <family val="2"/>
    </font>
    <font>
      <b/>
      <u/>
      <sz val="9"/>
      <color rgb="FFC00000"/>
      <name val="Arial"/>
      <family val="2"/>
    </font>
    <font>
      <sz val="14"/>
      <name val="Arial"/>
      <family val="2"/>
    </font>
    <font>
      <sz val="14"/>
      <color indexed="17"/>
      <name val="Arial"/>
      <family val="2"/>
    </font>
    <font>
      <sz val="14"/>
      <color indexed="48"/>
      <name val="Arial"/>
      <family val="2"/>
    </font>
    <font>
      <b/>
      <u/>
      <sz val="10"/>
      <color rgb="FFC00000"/>
      <name val="Arial"/>
      <family val="2"/>
    </font>
    <font>
      <sz val="8"/>
      <color rgb="FFFFFF00"/>
      <name val="Arial"/>
      <family val="2"/>
    </font>
    <font>
      <sz val="10"/>
      <color rgb="FFFFFF00"/>
      <name val="Arial"/>
      <family val="2"/>
    </font>
    <font>
      <b/>
      <sz val="9"/>
      <color theme="9" tint="-0.499984740745262"/>
      <name val="Arial"/>
      <family val="2"/>
    </font>
    <font>
      <b/>
      <u/>
      <sz val="9"/>
      <color theme="9" tint="-0.499984740745262"/>
      <name val="Arial"/>
      <family val="2"/>
    </font>
    <font>
      <sz val="10"/>
      <color theme="0"/>
      <name val="Arial"/>
      <family val="2"/>
    </font>
    <font>
      <b/>
      <sz val="9"/>
      <color theme="0"/>
      <name val="Arial"/>
      <family val="2"/>
    </font>
    <font>
      <b/>
      <i/>
      <sz val="10"/>
      <color theme="0"/>
      <name val="Arial"/>
      <family val="2"/>
    </font>
    <font>
      <b/>
      <i/>
      <sz val="8"/>
      <color rgb="FFFFFF00"/>
      <name val="Arial"/>
      <family val="2"/>
      <charset val="2"/>
    </font>
    <font>
      <b/>
      <i/>
      <sz val="8"/>
      <color rgb="FFFFFF00"/>
      <name val="Wingdings"/>
      <charset val="2"/>
    </font>
    <font>
      <b/>
      <i/>
      <sz val="18"/>
      <color rgb="FFC00000"/>
      <name val="Arial"/>
      <family val="2"/>
    </font>
    <font>
      <b/>
      <u/>
      <sz val="8"/>
      <color rgb="FFC00000"/>
      <name val="Arial"/>
      <family val="2"/>
    </font>
    <font>
      <b/>
      <i/>
      <sz val="18"/>
      <color theme="0" tint="-0.499984740745262"/>
      <name val="Arial"/>
      <family val="2"/>
    </font>
    <font>
      <b/>
      <u/>
      <sz val="8"/>
      <color rgb="FF006666"/>
      <name val="Arial"/>
      <family val="2"/>
    </font>
    <font>
      <sz val="22"/>
      <name val="Algerian"/>
      <family val="5"/>
    </font>
    <font>
      <sz val="22"/>
      <color rgb="FFC00000"/>
      <name val="Algerian"/>
      <family val="5"/>
    </font>
    <font>
      <sz val="12"/>
      <color rgb="FF006666"/>
      <name val="Algerian"/>
      <family val="5"/>
    </font>
    <font>
      <sz val="8"/>
      <color rgb="FFFF0000"/>
      <name val="Algerian"/>
      <family val="5"/>
    </font>
    <font>
      <sz val="18"/>
      <color rgb="FFC00000"/>
      <name val="Algerian"/>
      <family val="5"/>
    </font>
    <font>
      <sz val="10"/>
      <color rgb="FF006666"/>
      <name val="Algerian"/>
      <family val="5"/>
    </font>
    <font>
      <sz val="10"/>
      <name val="Helv"/>
    </font>
    <font>
      <b/>
      <sz val="10"/>
      <name val="Helv"/>
    </font>
    <font>
      <b/>
      <i/>
      <sz val="9"/>
      <color rgb="FF002060"/>
      <name val="Arial"/>
      <family val="2"/>
    </font>
    <font>
      <b/>
      <i/>
      <sz val="9"/>
      <color theme="0"/>
      <name val="Arial"/>
      <family val="2"/>
    </font>
    <font>
      <b/>
      <sz val="9"/>
      <color theme="5" tint="-0.249977111117893"/>
      <name val="Arial"/>
      <family val="2"/>
    </font>
    <font>
      <sz val="9"/>
      <color rgb="FFC00000"/>
      <name val="Arial"/>
      <family val="2"/>
    </font>
    <font>
      <sz val="9"/>
      <color rgb="FF006666"/>
      <name val="Arial"/>
      <family val="2"/>
    </font>
    <font>
      <sz val="9"/>
      <color rgb="FF002060"/>
      <name val="Arial"/>
      <family val="2"/>
    </font>
    <font>
      <b/>
      <sz val="9"/>
      <color theme="1"/>
      <name val="Arial"/>
      <family val="2"/>
    </font>
    <font>
      <b/>
      <sz val="9"/>
      <name val="Arial"/>
      <family val="2"/>
    </font>
    <font>
      <b/>
      <sz val="8"/>
      <name val="Arial"/>
      <family val="2"/>
    </font>
    <font>
      <b/>
      <i/>
      <sz val="10"/>
      <name val="Arial"/>
      <family val="2"/>
    </font>
    <font>
      <b/>
      <i/>
      <sz val="9"/>
      <color rgb="FFC00000"/>
      <name val="Arial"/>
      <family val="2"/>
    </font>
    <font>
      <b/>
      <sz val="16"/>
      <color rgb="FF006666"/>
      <name val="Arial"/>
      <family val="2"/>
    </font>
    <font>
      <b/>
      <sz val="16"/>
      <color rgb="FF0070C0"/>
      <name val="Arial"/>
      <family val="2"/>
    </font>
    <font>
      <sz val="10"/>
      <color rgb="FFC00000"/>
      <name val="Arial"/>
      <family val="2"/>
    </font>
    <font>
      <sz val="10"/>
      <color rgb="FF002060"/>
      <name val="Arial"/>
      <family val="2"/>
    </font>
    <font>
      <sz val="10"/>
      <color rgb="FF7030A0"/>
      <name val="Arial"/>
      <family val="2"/>
    </font>
    <font>
      <sz val="10"/>
      <color indexed="17"/>
      <name val="Arial"/>
      <family val="2"/>
    </font>
    <font>
      <b/>
      <sz val="9"/>
      <color rgb="FFFFFF00"/>
      <name val="Arial"/>
      <family val="2"/>
    </font>
    <font>
      <b/>
      <u/>
      <sz val="8"/>
      <color theme="8" tint="-0.499984740745262"/>
      <name val="Arial"/>
      <family val="2"/>
    </font>
    <font>
      <sz val="10"/>
      <color theme="0" tint="-0.499984740745262"/>
      <name val="Arial"/>
      <family val="2"/>
    </font>
    <font>
      <b/>
      <sz val="8"/>
      <color theme="8" tint="-0.499984740745262"/>
      <name val="Arial"/>
      <family val="2"/>
    </font>
    <font>
      <b/>
      <i/>
      <sz val="9"/>
      <name val="Arial"/>
      <family val="2"/>
    </font>
    <font>
      <b/>
      <i/>
      <sz val="10"/>
      <color rgb="FF008080"/>
      <name val="Arial"/>
      <family val="2"/>
    </font>
    <font>
      <b/>
      <i/>
      <sz val="8"/>
      <color rgb="FF008080"/>
      <name val="Arial"/>
      <family val="2"/>
    </font>
    <font>
      <b/>
      <sz val="6"/>
      <color theme="0"/>
      <name val="Arial"/>
      <family val="2"/>
    </font>
    <font>
      <b/>
      <u/>
      <sz val="8"/>
      <name val="Arial"/>
      <family val="2"/>
    </font>
    <font>
      <b/>
      <i/>
      <sz val="9"/>
      <color theme="1"/>
      <name val="Arial"/>
      <family val="2"/>
    </font>
    <font>
      <b/>
      <u/>
      <sz val="8"/>
      <color rgb="FF002060"/>
      <name val="Arial"/>
      <family val="2"/>
    </font>
    <font>
      <b/>
      <sz val="10"/>
      <color theme="1"/>
      <name val="Arial"/>
      <family val="2"/>
    </font>
    <font>
      <b/>
      <i/>
      <sz val="11"/>
      <color rgb="FFC00000"/>
      <name val="Arial"/>
      <family val="2"/>
    </font>
    <font>
      <b/>
      <sz val="8"/>
      <color theme="1" tint="0.249977111117893"/>
      <name val="Arial"/>
      <family val="2"/>
    </font>
    <font>
      <b/>
      <i/>
      <sz val="10"/>
      <color theme="1"/>
      <name val="Arial"/>
      <family val="2"/>
    </font>
    <font>
      <b/>
      <sz val="12"/>
      <color theme="1" tint="0.249977111117893"/>
      <name val="Arial"/>
      <family val="2"/>
    </font>
    <font>
      <sz val="12"/>
      <color theme="1" tint="0.249977111117893"/>
      <name val="Arial"/>
      <family val="2"/>
    </font>
    <font>
      <sz val="10"/>
      <color theme="1" tint="0.249977111117893"/>
      <name val="Arial"/>
      <family val="2"/>
    </font>
    <font>
      <b/>
      <i/>
      <sz val="11"/>
      <color theme="1" tint="0.249977111117893"/>
      <name val="Arial"/>
      <family val="2"/>
    </font>
    <font>
      <sz val="12"/>
      <color theme="1" tint="0.249977111117893"/>
      <name val="Helv"/>
    </font>
    <font>
      <b/>
      <i/>
      <sz val="9"/>
      <color theme="1" tint="0.249977111117893"/>
      <name val="Arial"/>
      <family val="2"/>
    </font>
    <font>
      <b/>
      <i/>
      <sz val="11"/>
      <color rgb="FF002060"/>
      <name val="Arial"/>
      <family val="2"/>
    </font>
    <font>
      <b/>
      <sz val="9"/>
      <color theme="8" tint="-0.249977111117893"/>
      <name val="Arial"/>
      <family val="2"/>
    </font>
    <font>
      <b/>
      <i/>
      <sz val="9"/>
      <color theme="8" tint="-0.499984740745262"/>
      <name val="Arial"/>
      <family val="2"/>
    </font>
    <font>
      <b/>
      <sz val="10"/>
      <color rgb="FFFFFF00"/>
      <name val="Arial"/>
      <family val="2"/>
    </font>
    <font>
      <b/>
      <i/>
      <sz val="8"/>
      <color theme="5" tint="-0.249977111117893"/>
      <name val="Arial"/>
      <family val="2"/>
    </font>
    <font>
      <sz val="10"/>
      <color indexed="17"/>
      <name val="Helv"/>
    </font>
    <font>
      <b/>
      <sz val="10"/>
      <color indexed="17"/>
      <name val="Arial"/>
      <family val="2"/>
    </font>
    <font>
      <sz val="12"/>
      <color rgb="FF006666"/>
      <name val="Arial"/>
      <family val="2"/>
    </font>
    <font>
      <b/>
      <sz val="8"/>
      <color rgb="FF00B0F0"/>
      <name val="Arial"/>
      <family val="2"/>
    </font>
    <font>
      <b/>
      <sz val="10"/>
      <color rgb="FF00B0F0"/>
      <name val="Arial"/>
      <family val="2"/>
    </font>
    <font>
      <b/>
      <sz val="12"/>
      <color rgb="FF006666"/>
      <name val="Arial"/>
      <family val="2"/>
    </font>
    <font>
      <b/>
      <u/>
      <sz val="8"/>
      <color theme="8" tint="-0.249977111117893"/>
      <name val="Arial"/>
      <family val="2"/>
    </font>
    <font>
      <b/>
      <i/>
      <sz val="12"/>
      <color rgb="FFFFFF00"/>
      <name val="Arial"/>
      <family val="2"/>
    </font>
    <font>
      <sz val="8"/>
      <color theme="5" tint="-0.249977111117893"/>
      <name val="Arial"/>
      <family val="2"/>
    </font>
    <font>
      <b/>
      <i/>
      <u/>
      <sz val="8"/>
      <color rgb="FFC00000"/>
      <name val="Arial"/>
      <family val="2"/>
    </font>
    <font>
      <b/>
      <u/>
      <sz val="10"/>
      <color rgb="FF002060"/>
      <name val="Arial"/>
      <family val="2"/>
    </font>
    <font>
      <b/>
      <sz val="9"/>
      <color rgb="FF002060"/>
      <name val="Arial"/>
      <family val="2"/>
      <charset val="2"/>
    </font>
    <font>
      <b/>
      <sz val="9"/>
      <color rgb="FF002060"/>
      <name val="Wingdings"/>
      <charset val="2"/>
    </font>
    <font>
      <b/>
      <sz val="14"/>
      <color theme="9" tint="-0.499984740745262"/>
      <name val="Arial"/>
      <family val="2"/>
    </font>
    <font>
      <b/>
      <sz val="11"/>
      <color rgb="FFC00000"/>
      <name val="Arial"/>
      <family val="2"/>
    </font>
    <font>
      <sz val="10"/>
      <color rgb="FFC00000"/>
      <name val="Wingdings"/>
      <charset val="2"/>
    </font>
    <font>
      <sz val="10"/>
      <color rgb="FF006666"/>
      <name val="Wingdings"/>
      <charset val="2"/>
    </font>
    <font>
      <b/>
      <sz val="8"/>
      <color theme="9" tint="-0.499984740745262"/>
      <name val="Arial"/>
      <family val="2"/>
    </font>
    <font>
      <b/>
      <sz val="12"/>
      <color theme="0" tint="-0.14999847407452621"/>
      <name val="Arial"/>
      <family val="2"/>
    </font>
    <font>
      <b/>
      <sz val="9"/>
      <color theme="0" tint="-0.14999847407452621"/>
      <name val="Arial"/>
      <family val="2"/>
    </font>
    <font>
      <b/>
      <i/>
      <sz val="14"/>
      <color theme="0" tint="-0.14999847407452621"/>
      <name val="Arial"/>
      <family val="2"/>
    </font>
    <font>
      <sz val="10"/>
      <color theme="0" tint="-0.14999847407452621"/>
      <name val="Arial"/>
      <family val="2"/>
    </font>
    <font>
      <sz val="12"/>
      <color theme="0" tint="-0.14999847407452621"/>
      <name val="Arial"/>
      <family val="2"/>
    </font>
    <font>
      <b/>
      <sz val="20"/>
      <color theme="0" tint="-0.14999847407452621"/>
      <name val="Arial"/>
      <family val="2"/>
    </font>
    <font>
      <b/>
      <u/>
      <sz val="20"/>
      <color theme="0" tint="-0.14999847407452621"/>
      <name val="Arial"/>
      <family val="2"/>
    </font>
    <font>
      <sz val="12"/>
      <color theme="0" tint="-0.14999847407452621"/>
      <name val="Helv"/>
    </font>
    <font>
      <b/>
      <i/>
      <sz val="14"/>
      <color theme="1"/>
      <name val="Arial"/>
      <family val="2"/>
    </font>
    <font>
      <sz val="8"/>
      <color theme="1"/>
      <name val="Arial"/>
      <family val="2"/>
    </font>
    <font>
      <b/>
      <sz val="16"/>
      <color theme="9" tint="-0.499984740745262"/>
      <name val="Arial"/>
      <family val="2"/>
    </font>
    <font>
      <b/>
      <sz val="10"/>
      <color theme="0"/>
      <name val="Helv"/>
    </font>
    <font>
      <sz val="11"/>
      <color rgb="FF002060"/>
      <name val="Helv"/>
    </font>
    <font>
      <sz val="8"/>
      <color rgb="FF002060"/>
      <name val="Helv"/>
    </font>
    <font>
      <b/>
      <i/>
      <sz val="11"/>
      <color theme="0" tint="-0.499984740745262"/>
      <name val="Arial"/>
      <family val="2"/>
    </font>
    <font>
      <b/>
      <i/>
      <sz val="10"/>
      <color theme="8" tint="-0.499984740745262"/>
      <name val="Arial"/>
      <family val="2"/>
    </font>
    <font>
      <b/>
      <sz val="12"/>
      <color theme="9" tint="-0.499984740745262"/>
      <name val="Arial"/>
      <family val="2"/>
    </font>
    <font>
      <sz val="8"/>
      <color rgb="FF00B0F0"/>
      <name val="Arial"/>
      <family val="2"/>
    </font>
    <font>
      <b/>
      <sz val="8"/>
      <color rgb="FFFF0000"/>
      <name val="Arial"/>
      <family val="2"/>
    </font>
    <font>
      <b/>
      <sz val="8"/>
      <color theme="0" tint="-0.34998626667073579"/>
      <name val="Arial"/>
      <family val="2"/>
    </font>
    <font>
      <b/>
      <u/>
      <sz val="8"/>
      <color rgb="FF215967"/>
      <name val="Arial"/>
      <family val="2"/>
    </font>
    <font>
      <b/>
      <u/>
      <sz val="8"/>
      <color theme="9" tint="-0.499984740745262"/>
      <name val="Arial"/>
      <family val="2"/>
    </font>
    <font>
      <b/>
      <sz val="14"/>
      <color rgb="FFC00000"/>
      <name val="Arial"/>
      <family val="2"/>
    </font>
    <font>
      <b/>
      <i/>
      <u/>
      <sz val="8"/>
      <color rgb="FF002060"/>
      <name val="Arial"/>
      <family val="2"/>
    </font>
    <font>
      <b/>
      <i/>
      <sz val="9"/>
      <color theme="9" tint="-0.249977111117893"/>
      <name val="Arial"/>
      <family val="2"/>
    </font>
    <font>
      <b/>
      <i/>
      <sz val="22"/>
      <color theme="8" tint="-0.499984740745262"/>
      <name val="Arial"/>
      <family val="2"/>
    </font>
    <font>
      <b/>
      <i/>
      <sz val="11"/>
      <color rgb="FF215967"/>
      <name val="Arial"/>
      <family val="2"/>
    </font>
    <font>
      <b/>
      <sz val="11"/>
      <color theme="8" tint="-0.249977111117893"/>
      <name val="Arial"/>
      <family val="2"/>
    </font>
    <font>
      <b/>
      <sz val="11"/>
      <color theme="8" tint="-0.499984740745262"/>
      <name val="Arial"/>
      <family val="2"/>
    </font>
    <font>
      <b/>
      <sz val="8"/>
      <color theme="9" tint="-0.499984740745262"/>
      <name val="Wingdings"/>
      <charset val="2"/>
    </font>
    <font>
      <i/>
      <sz val="9"/>
      <name val="Arial"/>
      <family val="2"/>
    </font>
    <font>
      <i/>
      <sz val="8"/>
      <color rgb="FF002060"/>
      <name val="Arial"/>
      <family val="2"/>
    </font>
    <font>
      <b/>
      <i/>
      <sz val="8"/>
      <color rgb="FF215967"/>
      <name val="Arial"/>
      <family val="2"/>
    </font>
    <font>
      <sz val="8"/>
      <color indexed="17"/>
      <name val="Arial"/>
      <family val="2"/>
    </font>
    <font>
      <b/>
      <i/>
      <sz val="6"/>
      <color theme="8" tint="-0.499984740745262"/>
      <name val="Arial"/>
      <family val="2"/>
    </font>
    <font>
      <b/>
      <sz val="8"/>
      <color theme="0" tint="-4.9989318521683403E-2"/>
      <name val="Arial"/>
      <family val="2"/>
    </font>
    <font>
      <sz val="10"/>
      <color theme="0" tint="-4.9989318521683403E-2"/>
      <name val="Arial"/>
      <family val="2"/>
    </font>
    <font>
      <sz val="8"/>
      <color theme="0" tint="-4.9989318521683403E-2"/>
      <name val="Helv"/>
    </font>
    <font>
      <sz val="8"/>
      <color theme="0" tint="-4.9989318521683403E-2"/>
      <name val="Arial"/>
      <family val="2"/>
    </font>
  </fonts>
  <fills count="34">
    <fill>
      <patternFill patternType="none"/>
    </fill>
    <fill>
      <patternFill patternType="gray125"/>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rgb="FFC6EFCE"/>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499984740745262"/>
        <bgColor indexed="64"/>
      </patternFill>
    </fill>
    <fill>
      <patternFill patternType="solid">
        <fgColor rgb="FFFFFFCC"/>
        <bgColor indexed="64"/>
      </patternFill>
    </fill>
    <fill>
      <patternFill patternType="solid">
        <fgColor theme="8" tint="-0.249977111117893"/>
        <bgColor indexed="64"/>
      </patternFill>
    </fill>
    <fill>
      <patternFill patternType="solid">
        <fgColor rgb="FFC00000"/>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
      <patternFill patternType="solid">
        <fgColor theme="6" tint="0.59999389629810485"/>
        <bgColor indexed="64"/>
      </patternFill>
    </fill>
    <fill>
      <patternFill patternType="solid">
        <fgColor rgb="FFFFCCCC"/>
        <bgColor indexed="64"/>
      </patternFill>
    </fill>
    <fill>
      <patternFill patternType="solid">
        <fgColor theme="7" tint="-0.249977111117893"/>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rgb="FF006666"/>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399975585192419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theme="0" tint="-0.34998626667073579"/>
      </right>
      <top/>
      <bottom/>
      <diagonal/>
    </border>
    <border>
      <left style="thick">
        <color theme="0"/>
      </left>
      <right style="thick">
        <color theme="0"/>
      </right>
      <top/>
      <bottom style="thick">
        <color theme="0"/>
      </bottom>
      <diagonal/>
    </border>
  </borders>
  <cellStyleXfs count="4">
    <xf numFmtId="165" fontId="0" fillId="0" borderId="0"/>
    <xf numFmtId="9" fontId="3" fillId="0" borderId="0" applyFont="0" applyFill="0" applyBorder="0" applyAlignment="0" applyProtection="0"/>
    <xf numFmtId="0" fontId="34" fillId="6" borderId="0" applyNumberFormat="0" applyBorder="0" applyAlignment="0" applyProtection="0"/>
    <xf numFmtId="44" fontId="3" fillId="0" borderId="0" applyFont="0" applyFill="0" applyBorder="0" applyAlignment="0" applyProtection="0"/>
  </cellStyleXfs>
  <cellXfs count="1128">
    <xf numFmtId="165" fontId="0" fillId="0" borderId="0" xfId="0"/>
    <xf numFmtId="165" fontId="4" fillId="0" borderId="0" xfId="0" applyFont="1" applyAlignment="1">
      <alignment vertical="center"/>
    </xf>
    <xf numFmtId="169" fontId="4" fillId="0" borderId="0" xfId="0" applyNumberFormat="1" applyFont="1" applyAlignment="1">
      <alignment horizontal="right" vertical="center"/>
    </xf>
    <xf numFmtId="165" fontId="25" fillId="0" borderId="0" xfId="0" applyFont="1" applyAlignment="1">
      <alignment vertical="center"/>
    </xf>
    <xf numFmtId="165" fontId="14" fillId="0" borderId="0" xfId="0" applyFont="1" applyAlignment="1">
      <alignment vertical="center"/>
    </xf>
    <xf numFmtId="166" fontId="5" fillId="0" borderId="0" xfId="0" applyNumberFormat="1" applyFont="1" applyAlignment="1">
      <alignment vertical="center"/>
    </xf>
    <xf numFmtId="165" fontId="6" fillId="0" borderId="0" xfId="0" applyFont="1" applyAlignment="1">
      <alignment vertical="center"/>
    </xf>
    <xf numFmtId="166" fontId="20" fillId="0" borderId="0" xfId="0" applyNumberFormat="1" applyFont="1" applyAlignment="1">
      <alignment vertical="center"/>
    </xf>
    <xf numFmtId="165" fontId="7" fillId="0" borderId="0" xfId="0" applyFont="1" applyAlignment="1">
      <alignment vertical="center"/>
    </xf>
    <xf numFmtId="165" fontId="38" fillId="0" borderId="0" xfId="0" applyFont="1" applyAlignment="1">
      <alignment horizontal="center" vertical="center"/>
    </xf>
    <xf numFmtId="166" fontId="9" fillId="0" borderId="0" xfId="0" applyNumberFormat="1" applyFont="1" applyAlignment="1">
      <alignment vertical="center"/>
    </xf>
    <xf numFmtId="166" fontId="21" fillId="0" borderId="0" xfId="0" applyNumberFormat="1" applyFont="1" applyAlignment="1">
      <alignment vertical="center"/>
    </xf>
    <xf numFmtId="165" fontId="24" fillId="0" borderId="0" xfId="0" applyFont="1" applyAlignment="1">
      <alignment vertical="center"/>
    </xf>
    <xf numFmtId="165" fontId="32" fillId="0" borderId="0" xfId="0" applyFont="1" applyAlignment="1">
      <alignment vertical="center"/>
    </xf>
    <xf numFmtId="165" fontId="39" fillId="0" borderId="0" xfId="0" applyFont="1" applyAlignment="1">
      <alignment vertical="center"/>
    </xf>
    <xf numFmtId="165" fontId="49" fillId="0" borderId="0" xfId="0" applyFont="1" applyAlignment="1">
      <alignment vertical="center"/>
    </xf>
    <xf numFmtId="169" fontId="6" fillId="0" borderId="0" xfId="0" applyNumberFormat="1" applyFont="1" applyAlignment="1">
      <alignment horizontal="right" vertical="center"/>
    </xf>
    <xf numFmtId="165" fontId="29" fillId="0" borderId="0" xfId="0" applyFont="1" applyAlignment="1">
      <alignment vertical="center"/>
    </xf>
    <xf numFmtId="165" fontId="15" fillId="0" borderId="0" xfId="0" applyFont="1" applyAlignment="1">
      <alignment vertical="center"/>
    </xf>
    <xf numFmtId="165" fontId="8" fillId="0" borderId="0" xfId="0" applyFont="1" applyAlignment="1">
      <alignment vertical="center"/>
    </xf>
    <xf numFmtId="169" fontId="8" fillId="0" borderId="0" xfId="0" applyNumberFormat="1" applyFont="1" applyAlignment="1">
      <alignment horizontal="right" vertical="center"/>
    </xf>
    <xf numFmtId="165" fontId="26" fillId="0" borderId="0" xfId="0" applyFont="1" applyAlignment="1">
      <alignment vertical="center"/>
    </xf>
    <xf numFmtId="165" fontId="11" fillId="0" borderId="0" xfId="0" applyFont="1" applyAlignment="1">
      <alignment vertical="center"/>
    </xf>
    <xf numFmtId="169" fontId="11" fillId="0" borderId="0" xfId="0" applyNumberFormat="1" applyFont="1" applyAlignment="1">
      <alignment horizontal="right" vertical="center"/>
    </xf>
    <xf numFmtId="165" fontId="30" fillId="0" borderId="0" xfId="0" applyFont="1" applyAlignment="1">
      <alignment vertical="center"/>
    </xf>
    <xf numFmtId="165" fontId="3" fillId="0" borderId="0" xfId="0" applyFont="1" applyAlignment="1">
      <alignment vertical="center"/>
    </xf>
    <xf numFmtId="169" fontId="3" fillId="0" borderId="0" xfId="0" applyNumberFormat="1" applyFont="1" applyAlignment="1">
      <alignment horizontal="right" vertical="center"/>
    </xf>
    <xf numFmtId="165" fontId="31" fillId="0" borderId="0" xfId="0" applyFont="1" applyAlignment="1">
      <alignment vertical="center"/>
    </xf>
    <xf numFmtId="165" fontId="17" fillId="0" borderId="0" xfId="0" applyFont="1" applyAlignment="1">
      <alignment vertical="center"/>
    </xf>
    <xf numFmtId="166" fontId="2" fillId="0" borderId="0" xfId="0" applyNumberFormat="1" applyFont="1" applyAlignment="1">
      <alignment vertical="center"/>
    </xf>
    <xf numFmtId="166" fontId="22" fillId="0" borderId="0" xfId="0" applyNumberFormat="1" applyFont="1" applyAlignment="1">
      <alignment vertical="center"/>
    </xf>
    <xf numFmtId="165" fontId="57" fillId="0" borderId="0" xfId="0" applyFont="1" applyAlignment="1">
      <alignment vertical="center"/>
    </xf>
    <xf numFmtId="165" fontId="58" fillId="0" borderId="0" xfId="0" applyFont="1" applyAlignment="1">
      <alignment vertical="center"/>
    </xf>
    <xf numFmtId="170" fontId="19" fillId="7" borderId="1" xfId="0" quotePrefix="1" applyNumberFormat="1" applyFont="1" applyFill="1" applyBorder="1" applyAlignment="1">
      <alignment vertical="center"/>
    </xf>
    <xf numFmtId="169" fontId="23" fillId="9" borderId="1" xfId="0" applyNumberFormat="1" applyFont="1" applyFill="1" applyBorder="1" applyAlignment="1">
      <alignment horizontal="right" vertical="center"/>
    </xf>
    <xf numFmtId="170" fontId="16" fillId="9" borderId="1" xfId="2" applyNumberFormat="1" applyFont="1" applyFill="1" applyBorder="1" applyAlignment="1">
      <alignment horizontal="right" vertical="center"/>
    </xf>
    <xf numFmtId="172" fontId="52" fillId="4" borderId="1" xfId="0" applyNumberFormat="1" applyFont="1" applyFill="1" applyBorder="1" applyAlignment="1">
      <alignment horizontal="right" vertical="center"/>
    </xf>
    <xf numFmtId="170" fontId="36" fillId="2" borderId="5" xfId="0" applyNumberFormat="1" applyFont="1" applyFill="1" applyBorder="1" applyAlignment="1">
      <alignment vertical="center"/>
    </xf>
    <xf numFmtId="165" fontId="61" fillId="0" borderId="0" xfId="0" applyFont="1" applyAlignment="1">
      <alignment vertical="center"/>
    </xf>
    <xf numFmtId="14" fontId="63" fillId="0" borderId="0" xfId="0" applyNumberFormat="1" applyFont="1" applyAlignment="1">
      <alignment vertical="center"/>
    </xf>
    <xf numFmtId="165" fontId="40" fillId="0" borderId="0" xfId="0" applyFont="1" applyAlignment="1">
      <alignment horizontal="center" vertical="center"/>
    </xf>
    <xf numFmtId="165" fontId="59" fillId="0" borderId="0" xfId="0" applyFont="1" applyAlignment="1">
      <alignment vertical="center"/>
    </xf>
    <xf numFmtId="174" fontId="40" fillId="0" borderId="0" xfId="0" applyNumberFormat="1" applyFont="1" applyAlignment="1">
      <alignment horizontal="center" vertical="center"/>
    </xf>
    <xf numFmtId="3" fontId="38" fillId="0" borderId="0" xfId="0" applyNumberFormat="1" applyFont="1" applyAlignment="1">
      <alignment vertical="center"/>
    </xf>
    <xf numFmtId="167" fontId="44" fillId="0" borderId="0" xfId="0" applyNumberFormat="1" applyFont="1" applyAlignment="1">
      <alignment horizontal="center"/>
    </xf>
    <xf numFmtId="167" fontId="53" fillId="0" borderId="0" xfId="0" applyNumberFormat="1" applyFont="1" applyAlignment="1">
      <alignment horizontal="center"/>
    </xf>
    <xf numFmtId="167" fontId="48" fillId="0" borderId="0" xfId="0" applyNumberFormat="1" applyFont="1" applyAlignment="1">
      <alignment horizontal="center"/>
    </xf>
    <xf numFmtId="165" fontId="58" fillId="0" borderId="4" xfId="0" applyFont="1" applyBorder="1" applyAlignment="1">
      <alignment vertical="center"/>
    </xf>
    <xf numFmtId="174" fontId="40" fillId="0" borderId="4" xfId="0" applyNumberFormat="1" applyFont="1" applyBorder="1" applyAlignment="1">
      <alignment horizontal="center" vertical="center"/>
    </xf>
    <xf numFmtId="3" fontId="38" fillId="0" borderId="4" xfId="0" applyNumberFormat="1" applyFont="1" applyBorder="1" applyAlignment="1">
      <alignment vertical="center"/>
    </xf>
    <xf numFmtId="169" fontId="67" fillId="0" borderId="0" xfId="0" applyNumberFormat="1" applyFont="1" applyAlignment="1">
      <alignment vertical="top"/>
    </xf>
    <xf numFmtId="169" fontId="69" fillId="0" borderId="4" xfId="0" applyNumberFormat="1" applyFont="1" applyBorder="1" applyAlignment="1">
      <alignment horizontal="right" vertical="center"/>
    </xf>
    <xf numFmtId="14" fontId="38" fillId="0" borderId="4" xfId="0" applyNumberFormat="1" applyFont="1" applyBorder="1" applyAlignment="1">
      <alignment horizontal="left" vertical="center"/>
    </xf>
    <xf numFmtId="170" fontId="69" fillId="0" borderId="4" xfId="0" applyNumberFormat="1" applyFont="1" applyBorder="1" applyAlignment="1">
      <alignment horizontal="right" vertical="center"/>
    </xf>
    <xf numFmtId="175" fontId="40" fillId="0" borderId="0" xfId="0" applyNumberFormat="1" applyFont="1" applyAlignment="1">
      <alignment horizontal="right" vertical="center"/>
    </xf>
    <xf numFmtId="169" fontId="54" fillId="0" borderId="2" xfId="0" applyNumberFormat="1" applyFont="1" applyBorder="1" applyAlignment="1">
      <alignment horizontal="right" vertical="center"/>
    </xf>
    <xf numFmtId="170" fontId="68" fillId="0" borderId="2" xfId="2" applyNumberFormat="1" applyFont="1" applyFill="1" applyBorder="1" applyAlignment="1">
      <alignment horizontal="right" vertical="center"/>
    </xf>
    <xf numFmtId="172" fontId="70" fillId="0" borderId="2" xfId="0" applyNumberFormat="1" applyFont="1" applyBorder="1" applyAlignment="1">
      <alignment horizontal="right" vertical="center"/>
    </xf>
    <xf numFmtId="172" fontId="71" fillId="0" borderId="2" xfId="0" applyNumberFormat="1" applyFont="1" applyBorder="1" applyAlignment="1">
      <alignment horizontal="right" vertical="center"/>
    </xf>
    <xf numFmtId="165" fontId="75" fillId="0" borderId="0" xfId="0" applyFont="1" applyAlignment="1">
      <alignment vertical="center"/>
    </xf>
    <xf numFmtId="170" fontId="36" fillId="0" borderId="0" xfId="0" applyNumberFormat="1" applyFont="1" applyAlignment="1">
      <alignment vertical="center"/>
    </xf>
    <xf numFmtId="165" fontId="28" fillId="0" borderId="0" xfId="0" applyFont="1" applyAlignment="1">
      <alignment horizontal="center" vertical="center"/>
    </xf>
    <xf numFmtId="166" fontId="14" fillId="0" borderId="0" xfId="0" applyNumberFormat="1" applyFont="1" applyAlignment="1">
      <alignment vertical="center"/>
    </xf>
    <xf numFmtId="166" fontId="15" fillId="0" borderId="0" xfId="0" applyNumberFormat="1" applyFont="1" applyAlignment="1">
      <alignment vertical="center"/>
    </xf>
    <xf numFmtId="167" fontId="45" fillId="0" borderId="0" xfId="0" applyNumberFormat="1" applyFont="1" applyAlignment="1">
      <alignment horizontal="center"/>
    </xf>
    <xf numFmtId="170" fontId="16" fillId="0" borderId="0" xfId="0" applyNumberFormat="1" applyFont="1" applyAlignment="1">
      <alignment vertical="center"/>
    </xf>
    <xf numFmtId="165" fontId="33" fillId="0" borderId="4" xfId="0" applyFont="1" applyBorder="1" applyAlignment="1">
      <alignment vertical="center"/>
    </xf>
    <xf numFmtId="174" fontId="76" fillId="0" borderId="0" xfId="0" applyNumberFormat="1" applyFont="1" applyAlignment="1">
      <alignment horizontal="center" vertical="center"/>
    </xf>
    <xf numFmtId="166" fontId="17" fillId="0" borderId="0" xfId="0" applyNumberFormat="1" applyFont="1" applyAlignment="1">
      <alignment vertical="center"/>
    </xf>
    <xf numFmtId="164" fontId="13" fillId="4" borderId="5" xfId="0" applyNumberFormat="1" applyFont="1" applyFill="1" applyBorder="1" applyAlignment="1">
      <alignment horizontal="center" vertical="center"/>
    </xf>
    <xf numFmtId="169" fontId="10" fillId="4" borderId="5" xfId="0" applyNumberFormat="1" applyFont="1" applyFill="1" applyBorder="1" applyAlignment="1">
      <alignment horizontal="center" vertical="center"/>
    </xf>
    <xf numFmtId="168" fontId="27" fillId="4" borderId="5" xfId="0" applyNumberFormat="1" applyFont="1" applyFill="1" applyBorder="1" applyAlignment="1">
      <alignment horizontal="center" vertical="center"/>
    </xf>
    <xf numFmtId="167" fontId="18" fillId="4" borderId="5" xfId="0" applyNumberFormat="1" applyFont="1" applyFill="1" applyBorder="1" applyAlignment="1">
      <alignment horizontal="center" vertical="center"/>
    </xf>
    <xf numFmtId="172" fontId="77" fillId="4" borderId="5" xfId="0" applyNumberFormat="1" applyFont="1" applyFill="1" applyBorder="1" applyAlignment="1">
      <alignment horizontal="center" vertical="center"/>
    </xf>
    <xf numFmtId="170" fontId="23" fillId="4" borderId="5" xfId="0" applyNumberFormat="1" applyFont="1" applyFill="1" applyBorder="1" applyAlignment="1">
      <alignment horizontal="right" vertical="center"/>
    </xf>
    <xf numFmtId="172" fontId="70" fillId="4" borderId="5" xfId="0" applyNumberFormat="1" applyFont="1" applyFill="1" applyBorder="1" applyAlignment="1">
      <alignment horizontal="center"/>
    </xf>
    <xf numFmtId="165" fontId="28" fillId="0" borderId="2" xfId="0" applyFont="1" applyBorder="1" applyAlignment="1">
      <alignment vertical="center"/>
    </xf>
    <xf numFmtId="174" fontId="23" fillId="0" borderId="0" xfId="0" applyNumberFormat="1" applyFont="1" applyAlignment="1">
      <alignment vertical="center"/>
    </xf>
    <xf numFmtId="167" fontId="46" fillId="0" borderId="0" xfId="0" applyNumberFormat="1" applyFont="1" applyAlignment="1">
      <alignment horizontal="center"/>
    </xf>
    <xf numFmtId="167" fontId="47" fillId="0" borderId="0" xfId="0" applyNumberFormat="1" applyFont="1" applyAlignment="1">
      <alignment horizontal="center"/>
    </xf>
    <xf numFmtId="166" fontId="14" fillId="15" borderId="0" xfId="0" applyNumberFormat="1" applyFont="1" applyFill="1" applyAlignment="1">
      <alignment vertical="center"/>
    </xf>
    <xf numFmtId="166" fontId="20" fillId="15" borderId="0" xfId="0" applyNumberFormat="1" applyFont="1" applyFill="1" applyAlignment="1">
      <alignment vertical="center"/>
    </xf>
    <xf numFmtId="9" fontId="68" fillId="0" borderId="0" xfId="1" applyFont="1" applyAlignment="1">
      <alignment horizontal="right" vertical="center"/>
    </xf>
    <xf numFmtId="167" fontId="80" fillId="4" borderId="5" xfId="0" applyNumberFormat="1" applyFont="1" applyFill="1" applyBorder="1" applyAlignment="1">
      <alignment horizontal="center" vertical="center"/>
    </xf>
    <xf numFmtId="165" fontId="40" fillId="0" borderId="0" xfId="0" applyFont="1" applyAlignment="1">
      <alignment horizontal="center" vertical="top"/>
    </xf>
    <xf numFmtId="165" fontId="90" fillId="0" borderId="0" xfId="0" applyFont="1" applyAlignment="1">
      <alignment vertical="center"/>
    </xf>
    <xf numFmtId="167" fontId="91" fillId="4" borderId="5" xfId="0" applyNumberFormat="1" applyFont="1" applyFill="1" applyBorder="1" applyAlignment="1">
      <alignment horizontal="center" vertical="center"/>
    </xf>
    <xf numFmtId="14" fontId="92" fillId="0" borderId="0" xfId="0" applyNumberFormat="1" applyFont="1" applyAlignment="1">
      <alignment horizontal="left" vertical="center"/>
    </xf>
    <xf numFmtId="172" fontId="73" fillId="0" borderId="2" xfId="0" applyNumberFormat="1" applyFont="1" applyBorder="1" applyAlignment="1">
      <alignment horizontal="right" vertical="center"/>
    </xf>
    <xf numFmtId="165" fontId="93" fillId="0" borderId="0" xfId="0" applyFont="1" applyAlignment="1">
      <alignment vertical="center"/>
    </xf>
    <xf numFmtId="165" fontId="94" fillId="0" borderId="0" xfId="0" applyFont="1" applyAlignment="1">
      <alignment vertical="center"/>
    </xf>
    <xf numFmtId="172" fontId="62" fillId="8" borderId="1" xfId="0" quotePrefix="1" applyNumberFormat="1" applyFont="1" applyFill="1" applyBorder="1" applyAlignment="1">
      <alignment vertical="center"/>
    </xf>
    <xf numFmtId="172" fontId="81" fillId="0" borderId="4" xfId="0" applyNumberFormat="1" applyFont="1" applyBorder="1" applyAlignment="1">
      <alignment horizontal="right" vertical="center"/>
    </xf>
    <xf numFmtId="172" fontId="81" fillId="0" borderId="0" xfId="0" applyNumberFormat="1" applyFont="1" applyAlignment="1">
      <alignment horizontal="right" vertical="center"/>
    </xf>
    <xf numFmtId="172" fontId="82" fillId="5" borderId="1" xfId="0" applyNumberFormat="1" applyFont="1" applyFill="1" applyBorder="1" applyAlignment="1">
      <alignment horizontal="right" vertical="center"/>
    </xf>
    <xf numFmtId="14" fontId="63" fillId="0" borderId="0" xfId="0" applyNumberFormat="1" applyFont="1" applyAlignment="1">
      <alignment horizontal="center" vertical="top"/>
    </xf>
    <xf numFmtId="9" fontId="79" fillId="0" borderId="0" xfId="1" applyFont="1" applyBorder="1" applyAlignment="1">
      <alignment horizontal="right" vertical="center"/>
    </xf>
    <xf numFmtId="172" fontId="42" fillId="10" borderId="1" xfId="0" applyNumberFormat="1" applyFont="1" applyFill="1" applyBorder="1" applyAlignment="1">
      <alignment horizontal="right" vertical="center"/>
    </xf>
    <xf numFmtId="165" fontId="38" fillId="0" borderId="0" xfId="0" applyFont="1" applyAlignment="1">
      <alignment vertical="center"/>
    </xf>
    <xf numFmtId="165" fontId="40" fillId="0" borderId="0" xfId="0" applyFont="1" applyAlignment="1">
      <alignment vertical="center"/>
    </xf>
    <xf numFmtId="165" fontId="99" fillId="0" borderId="0" xfId="0" applyFont="1" applyAlignment="1">
      <alignment vertical="center"/>
    </xf>
    <xf numFmtId="169" fontId="40" fillId="0" borderId="0" xfId="0" applyNumberFormat="1" applyFont="1" applyAlignment="1">
      <alignment vertical="top"/>
    </xf>
    <xf numFmtId="165" fontId="57" fillId="0" borderId="0" xfId="0" applyFont="1" applyAlignment="1">
      <alignment horizontal="right" vertical="center"/>
    </xf>
    <xf numFmtId="172" fontId="57" fillId="0" borderId="0" xfId="0" applyNumberFormat="1" applyFont="1" applyAlignment="1">
      <alignment horizontal="right"/>
    </xf>
    <xf numFmtId="172" fontId="57" fillId="0" borderId="0" xfId="0" applyNumberFormat="1" applyFont="1" applyAlignment="1">
      <alignment horizontal="right" vertical="center"/>
    </xf>
    <xf numFmtId="172" fontId="101" fillId="0" borderId="0" xfId="0" applyNumberFormat="1" applyFont="1" applyAlignment="1">
      <alignment horizontal="right" vertical="top"/>
    </xf>
    <xf numFmtId="172" fontId="40" fillId="0" borderId="0" xfId="0" applyNumberFormat="1" applyFont="1" applyAlignment="1">
      <alignment horizontal="center" vertical="center"/>
    </xf>
    <xf numFmtId="165" fontId="59" fillId="0" borderId="0" xfId="0" applyFont="1" applyAlignment="1">
      <alignment horizontal="right"/>
    </xf>
    <xf numFmtId="1" fontId="40" fillId="0" borderId="0" xfId="0" applyNumberFormat="1" applyFont="1" applyAlignment="1">
      <alignment horizontal="center" vertical="center"/>
    </xf>
    <xf numFmtId="1" fontId="40" fillId="0" borderId="4" xfId="0" applyNumberFormat="1" applyFont="1" applyBorder="1" applyAlignment="1">
      <alignment horizontal="center" vertical="center"/>
    </xf>
    <xf numFmtId="1" fontId="102" fillId="0" borderId="0" xfId="0" applyNumberFormat="1" applyFont="1" applyAlignment="1">
      <alignment horizontal="center" vertical="center"/>
    </xf>
    <xf numFmtId="1" fontId="99" fillId="0" borderId="0" xfId="0" applyNumberFormat="1" applyFont="1" applyAlignment="1">
      <alignment horizontal="center"/>
    </xf>
    <xf numFmtId="1" fontId="38" fillId="0" borderId="4" xfId="0" applyNumberFormat="1" applyFont="1" applyBorder="1" applyAlignment="1">
      <alignment horizontal="right" vertical="center"/>
    </xf>
    <xf numFmtId="1" fontId="38" fillId="0" borderId="4" xfId="0" applyNumberFormat="1" applyFont="1" applyBorder="1" applyAlignment="1">
      <alignment horizontal="left" vertical="center"/>
    </xf>
    <xf numFmtId="165" fontId="57" fillId="0" borderId="4" xfId="0" applyFont="1" applyBorder="1" applyAlignment="1">
      <alignment horizontal="right" vertical="center"/>
    </xf>
    <xf numFmtId="170" fontId="16" fillId="0" borderId="0" xfId="0" quotePrefix="1" applyNumberFormat="1" applyFont="1" applyAlignment="1">
      <alignment vertical="center"/>
    </xf>
    <xf numFmtId="170" fontId="19" fillId="0" borderId="0" xfId="0" quotePrefix="1" applyNumberFormat="1" applyFont="1" applyAlignment="1">
      <alignment vertical="center"/>
    </xf>
    <xf numFmtId="170" fontId="41" fillId="0" borderId="0" xfId="0" quotePrefix="1" applyNumberFormat="1" applyFont="1" applyAlignment="1">
      <alignment vertical="center"/>
    </xf>
    <xf numFmtId="172" fontId="51" fillId="0" borderId="0" xfId="0" quotePrefix="1" applyNumberFormat="1" applyFont="1" applyAlignment="1">
      <alignment vertical="center"/>
    </xf>
    <xf numFmtId="172" fontId="41" fillId="0" borderId="0" xfId="0" applyNumberFormat="1" applyFont="1" applyAlignment="1">
      <alignment vertical="center"/>
    </xf>
    <xf numFmtId="167" fontId="45" fillId="0" borderId="0" xfId="0" applyNumberFormat="1" applyFont="1" applyAlignment="1">
      <alignment horizontal="left"/>
    </xf>
    <xf numFmtId="14" fontId="109" fillId="17" borderId="1" xfId="0" applyNumberFormat="1" applyFont="1" applyFill="1" applyBorder="1" applyAlignment="1">
      <alignment horizontal="center" vertical="center"/>
    </xf>
    <xf numFmtId="165" fontId="115" fillId="0" borderId="0" xfId="0" applyFont="1" applyAlignment="1">
      <alignment vertical="center"/>
    </xf>
    <xf numFmtId="176" fontId="121" fillId="18" borderId="1" xfId="1" applyNumberFormat="1" applyFont="1" applyFill="1" applyBorder="1" applyAlignment="1" applyProtection="1">
      <alignment horizontal="center" vertical="center" wrapText="1"/>
    </xf>
    <xf numFmtId="165" fontId="115" fillId="0" borderId="0" xfId="0" applyFont="1" applyAlignment="1">
      <alignment horizontal="right" vertical="center"/>
    </xf>
    <xf numFmtId="165" fontId="39" fillId="0" borderId="0" xfId="0" applyFont="1" applyAlignment="1">
      <alignment horizontal="center" vertical="center"/>
    </xf>
    <xf numFmtId="165" fontId="135" fillId="0" borderId="0" xfId="0" applyFont="1" applyAlignment="1">
      <alignment horizontal="right" vertical="center"/>
    </xf>
    <xf numFmtId="170" fontId="36" fillId="22" borderId="5" xfId="0" applyNumberFormat="1" applyFont="1" applyFill="1" applyBorder="1" applyAlignment="1">
      <alignment vertical="center"/>
    </xf>
    <xf numFmtId="165" fontId="103" fillId="0" borderId="0" xfId="0" applyFont="1" applyAlignment="1">
      <alignment horizontal="left" vertical="center"/>
    </xf>
    <xf numFmtId="171" fontId="36" fillId="0" borderId="9" xfId="1" applyNumberFormat="1" applyFont="1" applyFill="1" applyBorder="1" applyAlignment="1">
      <alignment horizontal="right" vertical="center"/>
    </xf>
    <xf numFmtId="169" fontId="69" fillId="0" borderId="0" xfId="0" applyNumberFormat="1" applyFont="1" applyAlignment="1">
      <alignment horizontal="right" vertical="center"/>
    </xf>
    <xf numFmtId="14" fontId="38" fillId="0" borderId="0" xfId="0" applyNumberFormat="1" applyFont="1" applyAlignment="1">
      <alignment horizontal="left" vertical="center"/>
    </xf>
    <xf numFmtId="1" fontId="38" fillId="0" borderId="0" xfId="0" applyNumberFormat="1" applyFont="1" applyAlignment="1">
      <alignment horizontal="right" vertical="center"/>
    </xf>
    <xf numFmtId="1" fontId="38" fillId="0" borderId="0" xfId="0" applyNumberFormat="1" applyFont="1" applyAlignment="1">
      <alignment horizontal="left" vertical="center"/>
    </xf>
    <xf numFmtId="170" fontId="69" fillId="0" borderId="0" xfId="0" applyNumberFormat="1" applyFont="1" applyAlignment="1">
      <alignment horizontal="right" vertical="center"/>
    </xf>
    <xf numFmtId="165" fontId="33" fillId="0" borderId="0" xfId="0" applyFont="1" applyAlignment="1">
      <alignment vertical="center"/>
    </xf>
    <xf numFmtId="165" fontId="79" fillId="0" borderId="0" xfId="0" applyFont="1" applyAlignment="1">
      <alignment vertical="center" wrapText="1"/>
    </xf>
    <xf numFmtId="172" fontId="16" fillId="2" borderId="1" xfId="0" applyNumberFormat="1" applyFont="1" applyFill="1" applyBorder="1" applyAlignment="1">
      <alignment horizontal="right" vertical="center"/>
    </xf>
    <xf numFmtId="167" fontId="45" fillId="0" borderId="0" xfId="0" applyNumberFormat="1" applyFont="1" applyAlignment="1">
      <alignment horizontal="right" vertical="center"/>
    </xf>
    <xf numFmtId="174" fontId="76" fillId="0" borderId="0" xfId="0" applyNumberFormat="1" applyFont="1" applyAlignment="1">
      <alignment horizontal="right" vertical="center"/>
    </xf>
    <xf numFmtId="170" fontId="6" fillId="0" borderId="0" xfId="0" applyNumberFormat="1" applyFont="1" applyAlignment="1">
      <alignment vertical="center"/>
    </xf>
    <xf numFmtId="170" fontId="24" fillId="0" borderId="0" xfId="0" applyNumberFormat="1" applyFont="1" applyAlignment="1">
      <alignment vertical="center"/>
    </xf>
    <xf numFmtId="170" fontId="58" fillId="0" borderId="0" xfId="0" applyNumberFormat="1" applyFont="1" applyAlignment="1">
      <alignment vertical="center"/>
    </xf>
    <xf numFmtId="170" fontId="32" fillId="0" borderId="0" xfId="0" applyNumberFormat="1" applyFont="1" applyAlignment="1">
      <alignment vertical="center"/>
    </xf>
    <xf numFmtId="170" fontId="49" fillId="0" borderId="0" xfId="0" applyNumberFormat="1" applyFont="1" applyAlignment="1">
      <alignment vertical="center"/>
    </xf>
    <xf numFmtId="170" fontId="75" fillId="0" borderId="0" xfId="0" applyNumberFormat="1" applyFont="1" applyAlignment="1">
      <alignment vertical="center"/>
    </xf>
    <xf numFmtId="170" fontId="3" fillId="0" borderId="0" xfId="0" applyNumberFormat="1" applyFont="1" applyAlignment="1">
      <alignment vertical="center"/>
    </xf>
    <xf numFmtId="170" fontId="135" fillId="0" borderId="0" xfId="0" applyNumberFormat="1" applyFont="1" applyAlignment="1">
      <alignment vertical="center"/>
    </xf>
    <xf numFmtId="170" fontId="150" fillId="0" borderId="0" xfId="0" applyNumberFormat="1" applyFont="1" applyAlignment="1">
      <alignment vertical="center"/>
    </xf>
    <xf numFmtId="170" fontId="61" fillId="0" borderId="0" xfId="0" applyNumberFormat="1" applyFont="1" applyAlignment="1">
      <alignment vertical="center"/>
    </xf>
    <xf numFmtId="170" fontId="103" fillId="0" borderId="0" xfId="0" applyNumberFormat="1" applyFont="1" applyAlignment="1">
      <alignment vertical="center"/>
    </xf>
    <xf numFmtId="170" fontId="151" fillId="0" borderId="0" xfId="0" applyNumberFormat="1" applyFont="1" applyAlignment="1">
      <alignment vertical="center"/>
    </xf>
    <xf numFmtId="177" fontId="83" fillId="0" borderId="0" xfId="0" applyNumberFormat="1" applyFont="1" applyAlignment="1">
      <alignment horizontal="right" vertical="center"/>
    </xf>
    <xf numFmtId="177" fontId="6" fillId="0" borderId="0" xfId="0" applyNumberFormat="1" applyFont="1" applyAlignment="1">
      <alignment vertical="center"/>
    </xf>
    <xf numFmtId="177" fontId="46" fillId="0" borderId="0" xfId="0" applyNumberFormat="1" applyFont="1" applyAlignment="1">
      <alignment horizontal="right" vertical="center"/>
    </xf>
    <xf numFmtId="177" fontId="84" fillId="4" borderId="5" xfId="0" applyNumberFormat="1" applyFont="1" applyFill="1" applyBorder="1" applyAlignment="1">
      <alignment horizontal="right" vertical="center"/>
    </xf>
    <xf numFmtId="177" fontId="40" fillId="0" borderId="0" xfId="0" applyNumberFormat="1" applyFont="1" applyAlignment="1">
      <alignment horizontal="right" vertical="center"/>
    </xf>
    <xf numFmtId="177" fontId="81" fillId="0" borderId="2" xfId="0" applyNumberFormat="1" applyFont="1" applyBorder="1" applyAlignment="1">
      <alignment horizontal="right" vertical="center"/>
    </xf>
    <xf numFmtId="177" fontId="86" fillId="0" borderId="0" xfId="0" applyNumberFormat="1" applyFont="1" applyAlignment="1">
      <alignment horizontal="right" vertical="center"/>
    </xf>
    <xf numFmtId="177" fontId="87" fillId="0" borderId="0" xfId="0" applyNumberFormat="1" applyFont="1" applyAlignment="1">
      <alignment horizontal="right" vertical="center"/>
    </xf>
    <xf numFmtId="177" fontId="88" fillId="0" borderId="0" xfId="0" applyNumberFormat="1" applyFont="1" applyAlignment="1">
      <alignment horizontal="right" vertical="center"/>
    </xf>
    <xf numFmtId="177" fontId="89" fillId="0" borderId="0" xfId="0" applyNumberFormat="1" applyFont="1" applyAlignment="1">
      <alignment horizontal="right" vertical="center"/>
    </xf>
    <xf numFmtId="178" fontId="61" fillId="0" borderId="0" xfId="0" applyNumberFormat="1" applyFont="1" applyAlignment="1">
      <alignment vertical="center"/>
    </xf>
    <xf numFmtId="178" fontId="103" fillId="0" borderId="0" xfId="0" applyNumberFormat="1" applyFont="1" applyAlignment="1">
      <alignment vertical="center"/>
    </xf>
    <xf numFmtId="178" fontId="151" fillId="0" borderId="0" xfId="0" applyNumberFormat="1" applyFont="1" applyAlignment="1">
      <alignment vertical="center"/>
    </xf>
    <xf numFmtId="14" fontId="109" fillId="4" borderId="2" xfId="0" applyNumberFormat="1" applyFont="1" applyFill="1" applyBorder="1" applyAlignment="1">
      <alignment horizontal="center" vertical="center"/>
    </xf>
    <xf numFmtId="14" fontId="109" fillId="4" borderId="9" xfId="0" applyNumberFormat="1" applyFont="1" applyFill="1" applyBorder="1" applyAlignment="1">
      <alignment horizontal="center" vertical="center"/>
    </xf>
    <xf numFmtId="165" fontId="4" fillId="15" borderId="0" xfId="0" applyFont="1" applyFill="1" applyAlignment="1">
      <alignment vertical="center"/>
    </xf>
    <xf numFmtId="164" fontId="13" fillId="9" borderId="5" xfId="0" applyNumberFormat="1" applyFont="1" applyFill="1" applyBorder="1" applyAlignment="1">
      <alignment horizontal="center" vertical="center"/>
    </xf>
    <xf numFmtId="172" fontId="97" fillId="16" borderId="0" xfId="0" applyNumberFormat="1" applyFont="1" applyFill="1" applyAlignment="1">
      <alignment horizontal="right" vertical="center"/>
    </xf>
    <xf numFmtId="14" fontId="16" fillId="22" borderId="1" xfId="0" applyNumberFormat="1" applyFont="1" applyFill="1" applyBorder="1" applyAlignment="1">
      <alignment vertical="center"/>
    </xf>
    <xf numFmtId="165" fontId="45" fillId="0" borderId="0" xfId="0" applyFont="1" applyAlignment="1">
      <alignment horizontal="center" vertical="center"/>
    </xf>
    <xf numFmtId="14" fontId="152" fillId="0" borderId="0" xfId="0" applyNumberFormat="1" applyFont="1" applyAlignment="1">
      <alignment horizontal="center" vertical="center"/>
    </xf>
    <xf numFmtId="177" fontId="133" fillId="0" borderId="0" xfId="0" applyNumberFormat="1" applyFont="1" applyAlignment="1">
      <alignment horizontal="center" vertical="center"/>
    </xf>
    <xf numFmtId="1" fontId="153" fillId="0" borderId="0" xfId="0" applyNumberFormat="1" applyFont="1" applyAlignment="1">
      <alignment horizontal="center" vertical="center"/>
    </xf>
    <xf numFmtId="167" fontId="154" fillId="0" borderId="0" xfId="0" applyNumberFormat="1" applyFont="1" applyAlignment="1">
      <alignment horizontal="center"/>
    </xf>
    <xf numFmtId="167" fontId="157" fillId="0" borderId="0" xfId="0" applyNumberFormat="1" applyFont="1" applyAlignment="1">
      <alignment horizontal="right" vertical="center"/>
    </xf>
    <xf numFmtId="165" fontId="53" fillId="0" borderId="0" xfId="0" applyFont="1" applyAlignment="1">
      <alignment horizontal="center" vertical="center"/>
    </xf>
    <xf numFmtId="165" fontId="45" fillId="0" borderId="0" xfId="0" applyFont="1" applyAlignment="1">
      <alignment horizontal="right" vertical="center"/>
    </xf>
    <xf numFmtId="164" fontId="45" fillId="4" borderId="3" xfId="0" applyNumberFormat="1" applyFont="1" applyFill="1" applyBorder="1" applyAlignment="1">
      <alignment horizontal="left" vertical="center"/>
    </xf>
    <xf numFmtId="169" fontId="45" fillId="4" borderId="3" xfId="0" applyNumberFormat="1" applyFont="1" applyFill="1" applyBorder="1" applyAlignment="1">
      <alignment horizontal="center" vertical="center"/>
    </xf>
    <xf numFmtId="168" fontId="45" fillId="4" borderId="3" xfId="0" applyNumberFormat="1" applyFont="1" applyFill="1" applyBorder="1" applyAlignment="1">
      <alignment horizontal="center" vertical="center"/>
    </xf>
    <xf numFmtId="177" fontId="45" fillId="4" borderId="3" xfId="0" applyNumberFormat="1" applyFont="1" applyFill="1" applyBorder="1" applyAlignment="1">
      <alignment horizontal="center" vertical="center"/>
    </xf>
    <xf numFmtId="167" fontId="46" fillId="4" borderId="3" xfId="0" applyNumberFormat="1" applyFont="1" applyFill="1" applyBorder="1" applyAlignment="1">
      <alignment horizontal="center" vertical="center"/>
    </xf>
    <xf numFmtId="167" fontId="47" fillId="4" borderId="3" xfId="0" applyNumberFormat="1" applyFont="1" applyFill="1" applyBorder="1" applyAlignment="1">
      <alignment horizontal="center" vertical="center"/>
    </xf>
    <xf numFmtId="1" fontId="39" fillId="0" borderId="0" xfId="0" applyNumberFormat="1" applyFont="1" applyAlignment="1">
      <alignment horizontal="center" vertical="center"/>
    </xf>
    <xf numFmtId="172" fontId="46" fillId="4" borderId="3" xfId="0" applyNumberFormat="1" applyFont="1" applyFill="1" applyBorder="1" applyAlignment="1">
      <alignment horizontal="center" vertical="center"/>
    </xf>
    <xf numFmtId="172" fontId="48" fillId="4" borderId="3" xfId="0" applyNumberFormat="1" applyFont="1" applyFill="1" applyBorder="1" applyAlignment="1">
      <alignment horizontal="center" vertical="center"/>
    </xf>
    <xf numFmtId="172" fontId="39" fillId="0" borderId="0" xfId="0" applyNumberFormat="1" applyFont="1" applyAlignment="1">
      <alignment horizontal="right"/>
    </xf>
    <xf numFmtId="167" fontId="158" fillId="4" borderId="3" xfId="0" applyNumberFormat="1" applyFont="1" applyFill="1" applyBorder="1" applyAlignment="1">
      <alignment horizontal="center" vertical="center"/>
    </xf>
    <xf numFmtId="169" fontId="61" fillId="0" borderId="0" xfId="0" applyNumberFormat="1" applyFont="1" applyAlignment="1">
      <alignment vertical="center"/>
    </xf>
    <xf numFmtId="169" fontId="24" fillId="0" borderId="0" xfId="0" applyNumberFormat="1" applyFont="1" applyAlignment="1">
      <alignment vertical="center"/>
    </xf>
    <xf numFmtId="169" fontId="161" fillId="0" borderId="0" xfId="0" applyNumberFormat="1" applyFont="1" applyAlignment="1">
      <alignment vertical="center"/>
    </xf>
    <xf numFmtId="165" fontId="66" fillId="0" borderId="0" xfId="0" applyFont="1" applyAlignment="1">
      <alignment horizontal="center" vertical="center" wrapText="1"/>
    </xf>
    <xf numFmtId="172" fontId="119" fillId="3" borderId="0" xfId="0" applyNumberFormat="1" applyFont="1" applyFill="1" applyAlignment="1">
      <alignment horizontal="center" vertical="center"/>
    </xf>
    <xf numFmtId="170" fontId="159" fillId="3" borderId="1" xfId="0" applyNumberFormat="1" applyFont="1" applyFill="1" applyBorder="1" applyAlignment="1">
      <alignment horizontal="center" vertical="center"/>
    </xf>
    <xf numFmtId="169" fontId="103" fillId="0" borderId="4" xfId="0" applyNumberFormat="1" applyFont="1" applyBorder="1" applyAlignment="1">
      <alignment vertical="center"/>
    </xf>
    <xf numFmtId="169" fontId="24" fillId="0" borderId="0" xfId="0" applyNumberFormat="1" applyFont="1" applyAlignment="1">
      <alignment horizontal="right" vertical="center"/>
    </xf>
    <xf numFmtId="165" fontId="135" fillId="0" borderId="0" xfId="0" applyFont="1" applyAlignment="1">
      <alignment vertical="center"/>
    </xf>
    <xf numFmtId="165" fontId="28" fillId="0" borderId="0" xfId="0" applyFont="1" applyAlignment="1">
      <alignment vertical="center"/>
    </xf>
    <xf numFmtId="177" fontId="165" fillId="0" borderId="0" xfId="0" applyNumberFormat="1" applyFont="1" applyAlignment="1">
      <alignment horizontal="right" vertical="center"/>
    </xf>
    <xf numFmtId="165" fontId="166" fillId="0" borderId="0" xfId="0" applyFont="1" applyAlignment="1">
      <alignment vertical="center"/>
    </xf>
    <xf numFmtId="165" fontId="167" fillId="0" borderId="0" xfId="0" applyFont="1" applyAlignment="1">
      <alignment vertical="center"/>
    </xf>
    <xf numFmtId="1" fontId="135" fillId="0" borderId="0" xfId="0" applyNumberFormat="1" applyFont="1" applyAlignment="1">
      <alignment horizontal="center" vertical="center"/>
    </xf>
    <xf numFmtId="166" fontId="168" fillId="0" borderId="0" xfId="0" applyNumberFormat="1" applyFont="1" applyAlignment="1">
      <alignment vertical="center"/>
    </xf>
    <xf numFmtId="166" fontId="166" fillId="0" borderId="0" xfId="0" applyNumberFormat="1" applyFont="1" applyAlignment="1">
      <alignment vertical="center"/>
    </xf>
    <xf numFmtId="166" fontId="1" fillId="0" borderId="0" xfId="0" applyNumberFormat="1" applyFont="1" applyAlignment="1">
      <alignment vertical="center"/>
    </xf>
    <xf numFmtId="169" fontId="46" fillId="3" borderId="1" xfId="0" applyNumberFormat="1" applyFont="1" applyFill="1" applyBorder="1" applyAlignment="1">
      <alignment horizontal="center" vertical="center"/>
    </xf>
    <xf numFmtId="172" fontId="24" fillId="0" borderId="0" xfId="0" applyNumberFormat="1" applyFont="1" applyAlignment="1">
      <alignment vertical="center"/>
    </xf>
    <xf numFmtId="172" fontId="41" fillId="10" borderId="1" xfId="0" applyNumberFormat="1" applyFont="1" applyFill="1" applyBorder="1" applyAlignment="1">
      <alignment vertical="center"/>
    </xf>
    <xf numFmtId="172" fontId="72" fillId="0" borderId="0" xfId="0" applyNumberFormat="1" applyFont="1" applyAlignment="1">
      <alignment horizontal="right" vertical="center"/>
    </xf>
    <xf numFmtId="172" fontId="73" fillId="0" borderId="0" xfId="0" applyNumberFormat="1" applyFont="1" applyAlignment="1">
      <alignment horizontal="right" vertical="center"/>
    </xf>
    <xf numFmtId="170" fontId="54" fillId="0" borderId="0" xfId="0" applyNumberFormat="1" applyFont="1" applyAlignment="1">
      <alignment horizontal="right" vertical="center"/>
    </xf>
    <xf numFmtId="170" fontId="71" fillId="0" borderId="0" xfId="0" applyNumberFormat="1" applyFont="1" applyAlignment="1">
      <alignment horizontal="right" vertical="center"/>
    </xf>
    <xf numFmtId="172" fontId="74" fillId="0" borderId="0" xfId="0" applyNumberFormat="1" applyFont="1" applyAlignment="1">
      <alignment horizontal="right" vertical="center"/>
    </xf>
    <xf numFmtId="165" fontId="3" fillId="0" borderId="4" xfId="0" applyFont="1" applyBorder="1" applyAlignment="1">
      <alignment vertical="center"/>
    </xf>
    <xf numFmtId="169" fontId="3" fillId="0" borderId="4" xfId="0" applyNumberFormat="1" applyFont="1" applyBorder="1" applyAlignment="1">
      <alignment horizontal="right" vertical="center"/>
    </xf>
    <xf numFmtId="165" fontId="31" fillId="0" borderId="4" xfId="0" applyFont="1" applyBorder="1" applyAlignment="1">
      <alignment vertical="center"/>
    </xf>
    <xf numFmtId="177" fontId="89" fillId="0" borderId="4" xfId="0" applyNumberFormat="1" applyFont="1" applyBorder="1" applyAlignment="1">
      <alignment horizontal="right" vertical="center"/>
    </xf>
    <xf numFmtId="165" fontId="17" fillId="0" borderId="4" xfId="0" applyFont="1" applyBorder="1" applyAlignment="1">
      <alignment vertical="center"/>
    </xf>
    <xf numFmtId="165" fontId="94" fillId="0" borderId="4" xfId="0" applyFont="1" applyBorder="1" applyAlignment="1">
      <alignment vertical="center"/>
    </xf>
    <xf numFmtId="1" fontId="99" fillId="0" borderId="4" xfId="0" applyNumberFormat="1" applyFont="1" applyBorder="1" applyAlignment="1">
      <alignment horizontal="center"/>
    </xf>
    <xf numFmtId="166" fontId="2" fillId="0" borderId="4" xfId="0" applyNumberFormat="1" applyFont="1" applyBorder="1" applyAlignment="1">
      <alignment vertical="center"/>
    </xf>
    <xf numFmtId="166" fontId="17" fillId="0" borderId="4" xfId="0" applyNumberFormat="1" applyFont="1" applyBorder="1" applyAlignment="1">
      <alignment vertical="center"/>
    </xf>
    <xf numFmtId="166" fontId="22" fillId="0" borderId="4" xfId="0" applyNumberFormat="1" applyFont="1" applyBorder="1" applyAlignment="1">
      <alignment vertical="center"/>
    </xf>
    <xf numFmtId="165" fontId="59" fillId="0" borderId="4" xfId="0" applyFont="1" applyBorder="1" applyAlignment="1">
      <alignment horizontal="right"/>
    </xf>
    <xf numFmtId="169" fontId="159" fillId="0" borderId="0" xfId="0" applyNumberFormat="1" applyFont="1" applyAlignment="1">
      <alignment horizontal="right"/>
    </xf>
    <xf numFmtId="169" fontId="47" fillId="0" borderId="0" xfId="0" applyNumberFormat="1" applyFont="1" applyAlignment="1">
      <alignment horizontal="center"/>
    </xf>
    <xf numFmtId="177" fontId="48" fillId="0" borderId="0" xfId="0" applyNumberFormat="1" applyFont="1" applyAlignment="1">
      <alignment horizontal="right"/>
    </xf>
    <xf numFmtId="1" fontId="135" fillId="0" borderId="0" xfId="0" applyNumberFormat="1" applyFont="1" applyAlignment="1">
      <alignment horizontal="center"/>
    </xf>
    <xf numFmtId="166" fontId="168" fillId="0" borderId="0" xfId="0" applyNumberFormat="1" applyFont="1"/>
    <xf numFmtId="166" fontId="166" fillId="0" borderId="0" xfId="0" applyNumberFormat="1" applyFont="1"/>
    <xf numFmtId="166" fontId="1" fillId="0" borderId="0" xfId="0" applyNumberFormat="1" applyFont="1"/>
    <xf numFmtId="165" fontId="135" fillId="0" borderId="0" xfId="0" applyFont="1" applyAlignment="1">
      <alignment horizontal="right"/>
    </xf>
    <xf numFmtId="165" fontId="99" fillId="0" borderId="4" xfId="0" applyFont="1" applyBorder="1" applyAlignment="1">
      <alignment vertical="center"/>
    </xf>
    <xf numFmtId="165" fontId="111" fillId="0" borderId="0" xfId="0" applyFont="1" applyAlignment="1">
      <alignment horizontal="center"/>
    </xf>
    <xf numFmtId="165" fontId="6" fillId="0" borderId="0" xfId="0" applyFont="1" applyAlignment="1" applyProtection="1">
      <alignment vertical="center"/>
      <protection locked="0"/>
    </xf>
    <xf numFmtId="172" fontId="47" fillId="22" borderId="1" xfId="0" applyNumberFormat="1" applyFont="1" applyFill="1" applyBorder="1" applyAlignment="1">
      <alignment vertical="center"/>
    </xf>
    <xf numFmtId="172" fontId="169" fillId="24" borderId="1" xfId="0" applyNumberFormat="1" applyFont="1" applyFill="1" applyBorder="1" applyAlignment="1">
      <alignment vertical="center"/>
    </xf>
    <xf numFmtId="172" fontId="48" fillId="11" borderId="1" xfId="0" applyNumberFormat="1" applyFont="1" applyFill="1" applyBorder="1" applyAlignment="1">
      <alignment vertical="center"/>
    </xf>
    <xf numFmtId="165" fontId="81" fillId="13" borderId="3" xfId="0" applyFont="1" applyFill="1" applyBorder="1" applyAlignment="1">
      <alignment horizontal="center" textRotation="90"/>
    </xf>
    <xf numFmtId="169" fontId="47" fillId="3" borderId="1" xfId="0" applyNumberFormat="1" applyFont="1" applyFill="1" applyBorder="1" applyAlignment="1">
      <alignment horizontal="center" vertical="center"/>
    </xf>
    <xf numFmtId="14" fontId="103" fillId="0" borderId="4" xfId="0" applyNumberFormat="1" applyFont="1" applyBorder="1" applyAlignment="1">
      <alignment vertical="center"/>
    </xf>
    <xf numFmtId="14" fontId="66" fillId="0" borderId="4" xfId="0" applyNumberFormat="1" applyFont="1" applyBorder="1" applyAlignment="1">
      <alignment horizontal="left"/>
    </xf>
    <xf numFmtId="177" fontId="66" fillId="0" borderId="4" xfId="0" applyNumberFormat="1" applyFont="1" applyBorder="1" applyAlignment="1">
      <alignment horizontal="left"/>
    </xf>
    <xf numFmtId="1" fontId="38" fillId="0" borderId="4" xfId="0" applyNumberFormat="1" applyFont="1" applyBorder="1" applyAlignment="1">
      <alignment horizontal="left"/>
    </xf>
    <xf numFmtId="14" fontId="63" fillId="0" borderId="4" xfId="0" applyNumberFormat="1" applyFont="1" applyBorder="1" applyAlignment="1">
      <alignment vertical="center"/>
    </xf>
    <xf numFmtId="14" fontId="16" fillId="9" borderId="1" xfId="0" applyNumberFormat="1" applyFont="1" applyFill="1" applyBorder="1" applyAlignment="1">
      <alignment horizontal="left" vertical="center"/>
    </xf>
    <xf numFmtId="169" fontId="16" fillId="9" borderId="1" xfId="0" applyNumberFormat="1" applyFont="1" applyFill="1" applyBorder="1" applyAlignment="1">
      <alignment horizontal="right" vertical="center"/>
    </xf>
    <xf numFmtId="170" fontId="16" fillId="8" borderId="1" xfId="0" quotePrefix="1" applyNumberFormat="1" applyFont="1" applyFill="1" applyBorder="1" applyAlignment="1">
      <alignment vertical="center"/>
    </xf>
    <xf numFmtId="172" fontId="51" fillId="3" borderId="1" xfId="0" quotePrefix="1" applyNumberFormat="1" applyFont="1" applyFill="1" applyBorder="1" applyAlignment="1">
      <alignment vertical="center"/>
    </xf>
    <xf numFmtId="165" fontId="81" fillId="0" borderId="0" xfId="0" applyFont="1" applyAlignment="1">
      <alignment horizontal="left" vertical="center"/>
    </xf>
    <xf numFmtId="170" fontId="54" fillId="0" borderId="0" xfId="2" applyNumberFormat="1" applyFont="1" applyFill="1" applyBorder="1" applyAlignment="1">
      <alignment horizontal="right" vertical="center"/>
    </xf>
    <xf numFmtId="172" fontId="70" fillId="0" borderId="0" xfId="0" applyNumberFormat="1" applyFont="1" applyAlignment="1">
      <alignment horizontal="center" vertical="top"/>
    </xf>
    <xf numFmtId="174" fontId="54" fillId="0" borderId="0" xfId="0" applyNumberFormat="1" applyFont="1" applyAlignment="1">
      <alignment vertical="center"/>
    </xf>
    <xf numFmtId="165" fontId="40" fillId="0" borderId="0" xfId="0" applyFont="1" applyAlignment="1">
      <alignment horizontal="right" vertical="center"/>
    </xf>
    <xf numFmtId="178" fontId="160" fillId="0" borderId="0" xfId="0" applyNumberFormat="1" applyFont="1" applyAlignment="1">
      <alignment vertical="center"/>
    </xf>
    <xf numFmtId="170" fontId="160" fillId="0" borderId="0" xfId="0" applyNumberFormat="1" applyFont="1" applyAlignment="1">
      <alignment vertical="center"/>
    </xf>
    <xf numFmtId="172" fontId="174" fillId="22" borderId="1" xfId="0" applyNumberFormat="1" applyFont="1" applyFill="1" applyBorder="1" applyAlignment="1">
      <alignment horizontal="right" vertical="center"/>
    </xf>
    <xf numFmtId="172" fontId="175" fillId="0" borderId="0" xfId="0" applyNumberFormat="1" applyFont="1" applyAlignment="1">
      <alignment horizontal="center" vertical="top"/>
    </xf>
    <xf numFmtId="172" fontId="55" fillId="0" borderId="0" xfId="0" applyNumberFormat="1" applyFont="1" applyAlignment="1">
      <alignment horizontal="center" vertical="center"/>
    </xf>
    <xf numFmtId="167" fontId="46" fillId="0" borderId="0" xfId="0" applyNumberFormat="1" applyFont="1" applyAlignment="1">
      <alignment horizontal="center" vertical="center"/>
    </xf>
    <xf numFmtId="172" fontId="37" fillId="16" borderId="1" xfId="0" applyNumberFormat="1" applyFont="1" applyFill="1" applyBorder="1" applyAlignment="1">
      <alignment horizontal="right" vertical="center"/>
    </xf>
    <xf numFmtId="167" fontId="155" fillId="0" borderId="0" xfId="0" applyNumberFormat="1" applyFont="1" applyAlignment="1">
      <alignment horizontal="right" vertical="center"/>
    </xf>
    <xf numFmtId="172" fontId="156" fillId="0" borderId="0" xfId="0" applyNumberFormat="1" applyFont="1" applyAlignment="1">
      <alignment horizontal="right" vertical="center"/>
    </xf>
    <xf numFmtId="164" fontId="76" fillId="4" borderId="3" xfId="0" applyNumberFormat="1" applyFont="1" applyFill="1" applyBorder="1" applyAlignment="1">
      <alignment horizontal="center" vertical="center"/>
    </xf>
    <xf numFmtId="165" fontId="100" fillId="0" borderId="0" xfId="0" applyFont="1" applyAlignment="1">
      <alignment horizontal="center" vertical="center"/>
    </xf>
    <xf numFmtId="165" fontId="160" fillId="15" borderId="0" xfId="0" applyFont="1" applyFill="1" applyAlignment="1">
      <alignment horizontal="center" vertical="center"/>
    </xf>
    <xf numFmtId="1" fontId="68" fillId="26" borderId="1" xfId="0" applyNumberFormat="1" applyFont="1" applyFill="1" applyBorder="1" applyAlignment="1">
      <alignment horizontal="center" vertical="center"/>
    </xf>
    <xf numFmtId="1" fontId="38" fillId="25" borderId="1" xfId="0" applyNumberFormat="1" applyFont="1" applyFill="1" applyBorder="1" applyAlignment="1">
      <alignment horizontal="center" vertical="center"/>
    </xf>
    <xf numFmtId="165" fontId="75" fillId="0" borderId="0" xfId="0" applyFont="1" applyAlignment="1">
      <alignment horizontal="center" vertical="center"/>
    </xf>
    <xf numFmtId="165" fontId="160" fillId="0" borderId="0" xfId="0" applyFont="1" applyAlignment="1">
      <alignment horizontal="center" vertical="center"/>
    </xf>
    <xf numFmtId="165" fontId="177" fillId="0" borderId="0" xfId="0" applyFont="1" applyAlignment="1">
      <alignment horizontal="center" vertical="center"/>
    </xf>
    <xf numFmtId="165" fontId="65" fillId="0" borderId="0" xfId="0" applyFont="1" applyAlignment="1">
      <alignment horizontal="center" vertical="center"/>
    </xf>
    <xf numFmtId="174" fontId="158" fillId="0" borderId="0" xfId="0" applyNumberFormat="1" applyFont="1" applyAlignment="1">
      <alignment horizontal="center" vertical="center"/>
    </xf>
    <xf numFmtId="170" fontId="178" fillId="0" borderId="0" xfId="0" applyNumberFormat="1" applyFont="1" applyAlignment="1">
      <alignment horizontal="center" vertical="center"/>
    </xf>
    <xf numFmtId="169" fontId="24" fillId="0" borderId="0" xfId="0" applyNumberFormat="1" applyFont="1" applyAlignment="1">
      <alignment horizontal="center" vertical="center"/>
    </xf>
    <xf numFmtId="165" fontId="166" fillId="0" borderId="0" xfId="0" applyFont="1" applyAlignment="1">
      <alignment horizontal="center" vertical="center"/>
    </xf>
    <xf numFmtId="165" fontId="167" fillId="0" borderId="0" xfId="0" applyFont="1" applyAlignment="1">
      <alignment horizontal="center" vertical="center"/>
    </xf>
    <xf numFmtId="166" fontId="168" fillId="0" borderId="0" xfId="0" applyNumberFormat="1" applyFont="1" applyAlignment="1">
      <alignment horizontal="center" vertical="center"/>
    </xf>
    <xf numFmtId="166" fontId="166" fillId="0" borderId="0" xfId="0" applyNumberFormat="1" applyFont="1" applyAlignment="1">
      <alignment horizontal="center" vertical="center"/>
    </xf>
    <xf numFmtId="166" fontId="1" fillId="0" borderId="0" xfId="0" applyNumberFormat="1" applyFont="1" applyAlignment="1">
      <alignment horizontal="center" vertical="center"/>
    </xf>
    <xf numFmtId="177" fontId="165" fillId="0" borderId="0" xfId="0" applyNumberFormat="1" applyFont="1" applyAlignment="1">
      <alignment horizontal="center" vertical="center"/>
    </xf>
    <xf numFmtId="170" fontId="100" fillId="0" borderId="0" xfId="0" applyNumberFormat="1" applyFont="1" applyAlignment="1">
      <alignment horizontal="center" vertical="center"/>
    </xf>
    <xf numFmtId="1" fontId="100" fillId="0" borderId="0" xfId="0" applyNumberFormat="1" applyFont="1" applyAlignment="1">
      <alignment horizontal="center" vertical="center"/>
    </xf>
    <xf numFmtId="174" fontId="100" fillId="0" borderId="0" xfId="0" applyNumberFormat="1" applyFont="1" applyAlignment="1">
      <alignment horizontal="center" vertical="center"/>
    </xf>
    <xf numFmtId="177" fontId="100" fillId="0" borderId="0" xfId="0" applyNumberFormat="1" applyFont="1" applyAlignment="1">
      <alignment horizontal="center" vertical="center"/>
    </xf>
    <xf numFmtId="170" fontId="78" fillId="26" borderId="1" xfId="0" quotePrefix="1" applyNumberFormat="1" applyFont="1" applyFill="1" applyBorder="1" applyAlignment="1">
      <alignment vertical="center"/>
    </xf>
    <xf numFmtId="172" fontId="98" fillId="26" borderId="1" xfId="0" applyNumberFormat="1" applyFont="1" applyFill="1" applyBorder="1" applyAlignment="1">
      <alignment horizontal="right" vertical="center"/>
    </xf>
    <xf numFmtId="167" fontId="133" fillId="4" borderId="3" xfId="0" applyNumberFormat="1" applyFont="1" applyFill="1" applyBorder="1" applyAlignment="1">
      <alignment horizontal="center" vertical="center"/>
    </xf>
    <xf numFmtId="167" fontId="133" fillId="0" borderId="0" xfId="0" applyNumberFormat="1" applyFont="1" applyAlignment="1">
      <alignment horizontal="right" vertical="center"/>
    </xf>
    <xf numFmtId="166" fontId="83" fillId="15" borderId="0" xfId="0" applyNumberFormat="1" applyFont="1" applyFill="1" applyAlignment="1">
      <alignment vertical="center"/>
    </xf>
    <xf numFmtId="169" fontId="62" fillId="22" borderId="1" xfId="0" applyNumberFormat="1" applyFont="1" applyFill="1" applyBorder="1" applyAlignment="1">
      <alignment vertical="center"/>
    </xf>
    <xf numFmtId="169" fontId="62" fillId="0" borderId="0" xfId="0" applyNumberFormat="1" applyFont="1" applyAlignment="1">
      <alignment vertical="center"/>
    </xf>
    <xf numFmtId="169" fontId="62" fillId="0" borderId="4" xfId="0" applyNumberFormat="1" applyFont="1" applyBorder="1" applyAlignment="1">
      <alignment vertical="center"/>
    </xf>
    <xf numFmtId="170" fontId="181" fillId="0" borderId="0" xfId="0" applyNumberFormat="1" applyFont="1" applyAlignment="1">
      <alignment horizontal="right" vertical="center"/>
    </xf>
    <xf numFmtId="165" fontId="81" fillId="0" borderId="0" xfId="0" applyFont="1" applyAlignment="1">
      <alignment horizontal="center" vertical="center" wrapText="1"/>
    </xf>
    <xf numFmtId="172" fontId="37" fillId="3" borderId="0" xfId="0" applyNumberFormat="1" applyFont="1" applyFill="1" applyAlignment="1">
      <alignment horizontal="center" vertical="center"/>
    </xf>
    <xf numFmtId="174" fontId="70" fillId="0" borderId="0" xfId="0" applyNumberFormat="1" applyFont="1" applyAlignment="1">
      <alignment vertical="center"/>
    </xf>
    <xf numFmtId="166" fontId="89" fillId="0" borderId="4" xfId="0" applyNumberFormat="1" applyFont="1" applyBorder="1" applyAlignment="1">
      <alignment vertical="center"/>
    </xf>
    <xf numFmtId="166" fontId="165" fillId="0" borderId="0" xfId="0" applyNumberFormat="1" applyFont="1" applyAlignment="1">
      <alignment vertical="center"/>
    </xf>
    <xf numFmtId="166" fontId="165" fillId="0" borderId="0" xfId="0" applyNumberFormat="1" applyFont="1"/>
    <xf numFmtId="170" fontId="162" fillId="0" borderId="0" xfId="0" applyNumberFormat="1" applyFont="1" applyAlignment="1">
      <alignment horizontal="center" vertical="center"/>
    </xf>
    <xf numFmtId="166" fontId="165" fillId="0" borderId="0" xfId="0" applyNumberFormat="1" applyFont="1" applyAlignment="1">
      <alignment horizontal="center" vertical="center"/>
    </xf>
    <xf numFmtId="166" fontId="86" fillId="0" borderId="0" xfId="0" applyNumberFormat="1" applyFont="1" applyAlignment="1">
      <alignment vertical="center"/>
    </xf>
    <xf numFmtId="166" fontId="83" fillId="0" borderId="0" xfId="0" applyNumberFormat="1" applyFont="1" applyAlignment="1">
      <alignment vertical="center"/>
    </xf>
    <xf numFmtId="166" fontId="89" fillId="0" borderId="0" xfId="0" applyNumberFormat="1" applyFont="1" applyAlignment="1">
      <alignment vertical="center"/>
    </xf>
    <xf numFmtId="175" fontId="83" fillId="15" borderId="0" xfId="0" applyNumberFormat="1" applyFont="1" applyFill="1" applyAlignment="1">
      <alignment vertical="center"/>
    </xf>
    <xf numFmtId="175" fontId="162" fillId="0" borderId="0" xfId="0" applyNumberFormat="1" applyFont="1" applyAlignment="1">
      <alignment horizontal="center" vertical="center"/>
    </xf>
    <xf numFmtId="175" fontId="62" fillId="0" borderId="0" xfId="0" applyNumberFormat="1" applyFont="1" applyAlignment="1">
      <alignment vertical="center"/>
    </xf>
    <xf numFmtId="175" fontId="62" fillId="0" borderId="4" xfId="0" applyNumberFormat="1" applyFont="1" applyBorder="1" applyAlignment="1">
      <alignment vertical="center"/>
    </xf>
    <xf numFmtId="175" fontId="181" fillId="0" borderId="0" xfId="0" applyNumberFormat="1" applyFont="1" applyAlignment="1">
      <alignment horizontal="right" vertical="center"/>
    </xf>
    <xf numFmtId="175" fontId="70" fillId="0" borderId="0" xfId="0" applyNumberFormat="1" applyFont="1" applyAlignment="1">
      <alignment vertical="center"/>
    </xf>
    <xf numFmtId="175" fontId="37" fillId="16" borderId="0" xfId="0" applyNumberFormat="1" applyFont="1" applyFill="1" applyAlignment="1">
      <alignment horizontal="right" vertical="center"/>
    </xf>
    <xf numFmtId="175" fontId="89" fillId="0" borderId="4" xfId="0" applyNumberFormat="1" applyFont="1" applyBorder="1" applyAlignment="1">
      <alignment vertical="center"/>
    </xf>
    <xf numFmtId="175" fontId="165" fillId="0" borderId="0" xfId="0" applyNumberFormat="1" applyFont="1" applyAlignment="1">
      <alignment vertical="center"/>
    </xf>
    <xf numFmtId="175" fontId="165" fillId="0" borderId="0" xfId="0" applyNumberFormat="1" applyFont="1"/>
    <xf numFmtId="175" fontId="165" fillId="0" borderId="0" xfId="0" applyNumberFormat="1" applyFont="1" applyAlignment="1">
      <alignment horizontal="center" vertical="center"/>
    </xf>
    <xf numFmtId="175" fontId="86" fillId="0" borderId="0" xfId="0" applyNumberFormat="1" applyFont="1" applyAlignment="1">
      <alignment vertical="center"/>
    </xf>
    <xf numFmtId="175" fontId="83" fillId="0" borderId="0" xfId="0" applyNumberFormat="1" applyFont="1" applyAlignment="1">
      <alignment vertical="center"/>
    </xf>
    <xf numFmtId="175" fontId="89" fillId="0" borderId="0" xfId="0" applyNumberFormat="1" applyFont="1" applyAlignment="1">
      <alignment vertical="center"/>
    </xf>
    <xf numFmtId="169" fontId="45" fillId="3" borderId="1" xfId="0" applyNumberFormat="1" applyFont="1" applyFill="1" applyBorder="1" applyAlignment="1">
      <alignment horizontal="center" vertical="center"/>
    </xf>
    <xf numFmtId="169" fontId="16" fillId="22" borderId="1" xfId="0" applyNumberFormat="1" applyFont="1" applyFill="1" applyBorder="1" applyAlignment="1">
      <alignment vertical="center"/>
    </xf>
    <xf numFmtId="169" fontId="53" fillId="3" borderId="1" xfId="0" applyNumberFormat="1" applyFont="1" applyFill="1" applyBorder="1" applyAlignment="1">
      <alignment horizontal="center" vertical="center"/>
    </xf>
    <xf numFmtId="172" fontId="183" fillId="3" borderId="0" xfId="0" applyNumberFormat="1" applyFont="1" applyFill="1" applyAlignment="1">
      <alignment horizontal="center" vertical="center"/>
    </xf>
    <xf numFmtId="166" fontId="184" fillId="15" borderId="0" xfId="0" applyNumberFormat="1" applyFont="1" applyFill="1" applyAlignment="1">
      <alignment vertical="center"/>
    </xf>
    <xf numFmtId="178" fontId="51" fillId="0" borderId="0" xfId="0" applyNumberFormat="1" applyFont="1" applyAlignment="1">
      <alignment vertical="center"/>
    </xf>
    <xf numFmtId="178" fontId="53" fillId="3" borderId="1" xfId="0" applyNumberFormat="1" applyFont="1" applyFill="1" applyBorder="1" applyAlignment="1">
      <alignment horizontal="center" vertical="center"/>
    </xf>
    <xf numFmtId="170" fontId="51" fillId="8" borderId="1" xfId="0" applyNumberFormat="1" applyFont="1" applyFill="1" applyBorder="1" applyAlignment="1">
      <alignment vertical="center"/>
    </xf>
    <xf numFmtId="169" fontId="51" fillId="0" borderId="4" xfId="0" applyNumberFormat="1" applyFont="1" applyBorder="1" applyAlignment="1">
      <alignment vertical="center"/>
    </xf>
    <xf numFmtId="170" fontId="187" fillId="0" borderId="0" xfId="0" applyNumberFormat="1" applyFont="1" applyAlignment="1">
      <alignment horizontal="right" vertical="center"/>
    </xf>
    <xf numFmtId="165" fontId="182" fillId="0" borderId="0" xfId="0" applyFont="1" applyAlignment="1">
      <alignment horizontal="center" vertical="center" wrapText="1"/>
    </xf>
    <xf numFmtId="172" fontId="52" fillId="3" borderId="0" xfId="0" applyNumberFormat="1" applyFont="1" applyFill="1" applyAlignment="1">
      <alignment horizontal="center" vertical="center"/>
    </xf>
    <xf numFmtId="174" fontId="72" fillId="0" borderId="0" xfId="0" applyNumberFormat="1" applyFont="1" applyAlignment="1">
      <alignment vertical="center"/>
    </xf>
    <xf numFmtId="172" fontId="52" fillId="16" borderId="0" xfId="0" applyNumberFormat="1" applyFont="1" applyFill="1" applyAlignment="1">
      <alignment horizontal="right" vertical="center"/>
    </xf>
    <xf numFmtId="166" fontId="188" fillId="0" borderId="4" xfId="0" applyNumberFormat="1" applyFont="1" applyBorder="1" applyAlignment="1">
      <alignment vertical="center"/>
    </xf>
    <xf numFmtId="166" fontId="186" fillId="0" borderId="0" xfId="0" applyNumberFormat="1" applyFont="1" applyAlignment="1">
      <alignment vertical="center"/>
    </xf>
    <xf numFmtId="170" fontId="189" fillId="0" borderId="0" xfId="0" applyNumberFormat="1" applyFont="1" applyAlignment="1">
      <alignment horizontal="center" vertical="center"/>
    </xf>
    <xf numFmtId="166" fontId="186" fillId="0" borderId="0" xfId="0" applyNumberFormat="1" applyFont="1" applyAlignment="1">
      <alignment horizontal="center" vertical="center"/>
    </xf>
    <xf numFmtId="166" fontId="185" fillId="0" borderId="0" xfId="0" applyNumberFormat="1" applyFont="1" applyAlignment="1">
      <alignment vertical="center"/>
    </xf>
    <xf numFmtId="166" fontId="184" fillId="0" borderId="0" xfId="0" applyNumberFormat="1" applyFont="1" applyAlignment="1">
      <alignment vertical="center"/>
    </xf>
    <xf numFmtId="166" fontId="188" fillId="0" borderId="0" xfId="0" applyNumberFormat="1" applyFont="1" applyAlignment="1">
      <alignment vertical="center"/>
    </xf>
    <xf numFmtId="178" fontId="16" fillId="8" borderId="1" xfId="0" applyNumberFormat="1" applyFont="1" applyFill="1" applyBorder="1" applyAlignment="1">
      <alignment vertical="center"/>
    </xf>
    <xf numFmtId="178" fontId="16" fillId="0" borderId="0" xfId="0" applyNumberFormat="1" applyFont="1" applyAlignment="1">
      <alignment vertical="center"/>
    </xf>
    <xf numFmtId="178" fontId="45" fillId="3" borderId="1" xfId="0" applyNumberFormat="1" applyFont="1" applyFill="1" applyBorder="1" applyAlignment="1">
      <alignment horizontal="center" vertical="center"/>
    </xf>
    <xf numFmtId="170" fontId="16" fillId="8" borderId="1" xfId="0" applyNumberFormat="1" applyFont="1" applyFill="1" applyBorder="1" applyAlignment="1">
      <alignment vertical="center"/>
    </xf>
    <xf numFmtId="169" fontId="16" fillId="0" borderId="4" xfId="0" applyNumberFormat="1" applyFont="1" applyBorder="1" applyAlignment="1">
      <alignment vertical="center"/>
    </xf>
    <xf numFmtId="170" fontId="190" fillId="0" borderId="0" xfId="0" applyNumberFormat="1" applyFont="1" applyAlignment="1">
      <alignment horizontal="right" vertical="center"/>
    </xf>
    <xf numFmtId="165" fontId="68" fillId="0" borderId="0" xfId="0" applyFont="1" applyAlignment="1">
      <alignment horizontal="center" vertical="center" wrapText="1"/>
    </xf>
    <xf numFmtId="172" fontId="23" fillId="3" borderId="0" xfId="0" applyNumberFormat="1" applyFont="1" applyFill="1" applyAlignment="1">
      <alignment horizontal="center" vertical="center"/>
    </xf>
    <xf numFmtId="172" fontId="23" fillId="16" borderId="0" xfId="0" applyNumberFormat="1" applyFont="1" applyFill="1" applyAlignment="1">
      <alignment horizontal="right" vertical="center"/>
    </xf>
    <xf numFmtId="170" fontId="152" fillId="0" borderId="0" xfId="0" applyNumberFormat="1" applyFont="1" applyAlignment="1">
      <alignment horizontal="center" vertical="center"/>
    </xf>
    <xf numFmtId="170" fontId="16" fillId="27" borderId="1" xfId="0" applyNumberFormat="1" applyFont="1" applyFill="1" applyBorder="1" applyAlignment="1">
      <alignment vertical="center"/>
    </xf>
    <xf numFmtId="169" fontId="191" fillId="11" borderId="1" xfId="0" applyNumberFormat="1" applyFont="1" applyFill="1" applyBorder="1" applyAlignment="1">
      <alignment horizontal="center" vertical="center"/>
    </xf>
    <xf numFmtId="169" fontId="36" fillId="11" borderId="1" xfId="0" applyNumberFormat="1" applyFont="1" applyFill="1" applyBorder="1" applyAlignment="1">
      <alignment vertical="center"/>
    </xf>
    <xf numFmtId="170" fontId="160" fillId="3" borderId="1" xfId="0" applyNumberFormat="1" applyFont="1" applyFill="1" applyBorder="1" applyAlignment="1">
      <alignment horizontal="center" vertical="center"/>
    </xf>
    <xf numFmtId="169" fontId="16" fillId="0" borderId="0" xfId="0" applyNumberFormat="1" applyFont="1" applyAlignment="1">
      <alignment vertical="center"/>
    </xf>
    <xf numFmtId="169" fontId="37" fillId="0" borderId="0" xfId="0" applyNumberFormat="1" applyFont="1"/>
    <xf numFmtId="178" fontId="152" fillId="0" borderId="0" xfId="0" applyNumberFormat="1" applyFont="1" applyAlignment="1">
      <alignment horizontal="center"/>
    </xf>
    <xf numFmtId="165" fontId="187" fillId="0" borderId="0" xfId="0" applyFont="1" applyAlignment="1">
      <alignment horizontal="right" vertical="center"/>
    </xf>
    <xf numFmtId="169" fontId="36" fillId="9" borderId="1" xfId="0" applyNumberFormat="1" applyFont="1" applyFill="1" applyBorder="1" applyAlignment="1">
      <alignment horizontal="center" vertical="center"/>
    </xf>
    <xf numFmtId="178" fontId="192" fillId="0" borderId="0" xfId="0" applyNumberFormat="1" applyFont="1" applyAlignment="1">
      <alignment horizontal="center"/>
    </xf>
    <xf numFmtId="169" fontId="172" fillId="0" borderId="0" xfId="0" applyNumberFormat="1" applyFont="1" applyAlignment="1">
      <alignment horizontal="center"/>
    </xf>
    <xf numFmtId="175" fontId="41" fillId="11" borderId="1" xfId="0" applyNumberFormat="1" applyFont="1" applyFill="1" applyBorder="1" applyAlignment="1">
      <alignment horizontal="center" vertical="center"/>
    </xf>
    <xf numFmtId="169" fontId="91" fillId="0" borderId="0" xfId="0" applyNumberFormat="1" applyFont="1" applyAlignment="1">
      <alignment horizontal="center"/>
    </xf>
    <xf numFmtId="169" fontId="46" fillId="0" borderId="0" xfId="0" applyNumberFormat="1" applyFont="1" applyAlignment="1">
      <alignment horizontal="center"/>
    </xf>
    <xf numFmtId="175" fontId="178" fillId="0" borderId="0" xfId="0" applyNumberFormat="1" applyFont="1" applyAlignment="1">
      <alignment horizontal="center"/>
    </xf>
    <xf numFmtId="175" fontId="180" fillId="2" borderId="7" xfId="0" applyNumberFormat="1" applyFont="1" applyFill="1" applyBorder="1" applyAlignment="1">
      <alignment horizontal="center" vertical="center"/>
    </xf>
    <xf numFmtId="169" fontId="47" fillId="3" borderId="1" xfId="0" applyNumberFormat="1" applyFont="1" applyFill="1" applyBorder="1" applyAlignment="1">
      <alignment horizontal="left" vertical="center"/>
    </xf>
    <xf numFmtId="169" fontId="45" fillId="3" borderId="1" xfId="0" applyNumberFormat="1" applyFont="1" applyFill="1" applyBorder="1" applyAlignment="1">
      <alignment horizontal="left" vertical="center"/>
    </xf>
    <xf numFmtId="169" fontId="53" fillId="3" borderId="1" xfId="0" applyNumberFormat="1" applyFont="1" applyFill="1" applyBorder="1" applyAlignment="1">
      <alignment horizontal="left" vertical="center"/>
    </xf>
    <xf numFmtId="169" fontId="45" fillId="11" borderId="1" xfId="0" applyNumberFormat="1" applyFont="1" applyFill="1" applyBorder="1" applyAlignment="1">
      <alignment horizontal="left" vertical="center"/>
    </xf>
    <xf numFmtId="178" fontId="173" fillId="0" borderId="0" xfId="0" applyNumberFormat="1" applyFont="1"/>
    <xf numFmtId="169" fontId="36" fillId="3" borderId="1" xfId="0" applyNumberFormat="1" applyFont="1" applyFill="1" applyBorder="1" applyAlignment="1">
      <alignment horizontal="center" vertical="center"/>
    </xf>
    <xf numFmtId="169" fontId="48" fillId="3" borderId="1" xfId="0" applyNumberFormat="1" applyFont="1" applyFill="1" applyBorder="1" applyAlignment="1">
      <alignment horizontal="center" vertical="center"/>
    </xf>
    <xf numFmtId="169" fontId="48" fillId="3" borderId="1" xfId="0" applyNumberFormat="1" applyFont="1" applyFill="1" applyBorder="1" applyAlignment="1">
      <alignment horizontal="left" vertical="center"/>
    </xf>
    <xf numFmtId="175" fontId="53" fillId="3" borderId="1" xfId="0" applyNumberFormat="1" applyFont="1" applyFill="1" applyBorder="1" applyAlignment="1">
      <alignment horizontal="center" vertical="center"/>
    </xf>
    <xf numFmtId="175" fontId="53" fillId="3" borderId="1" xfId="0" applyNumberFormat="1" applyFont="1" applyFill="1" applyBorder="1" applyAlignment="1">
      <alignment horizontal="left" vertical="center"/>
    </xf>
    <xf numFmtId="167" fontId="46" fillId="0" borderId="0" xfId="0" applyNumberFormat="1" applyFont="1" applyAlignment="1">
      <alignment horizontal="left"/>
    </xf>
    <xf numFmtId="172" fontId="37" fillId="16" borderId="0" xfId="0" applyNumberFormat="1" applyFont="1" applyFill="1" applyAlignment="1">
      <alignment horizontal="left" vertical="center"/>
    </xf>
    <xf numFmtId="169" fontId="193" fillId="12" borderId="7" xfId="0" applyNumberFormat="1" applyFont="1" applyFill="1" applyBorder="1" applyAlignment="1">
      <alignment vertical="center"/>
    </xf>
    <xf numFmtId="169" fontId="193" fillId="12" borderId="8" xfId="0" applyNumberFormat="1" applyFont="1" applyFill="1" applyBorder="1" applyAlignment="1">
      <alignment vertical="center"/>
    </xf>
    <xf numFmtId="167" fontId="45" fillId="4" borderId="1" xfId="0" applyNumberFormat="1" applyFont="1" applyFill="1" applyBorder="1" applyAlignment="1">
      <alignment horizontal="center" vertical="center"/>
    </xf>
    <xf numFmtId="167" fontId="46" fillId="4" borderId="1" xfId="0" applyNumberFormat="1" applyFont="1" applyFill="1" applyBorder="1" applyAlignment="1">
      <alignment horizontal="center" vertical="center"/>
    </xf>
    <xf numFmtId="170" fontId="62" fillId="0" borderId="0" xfId="0" applyNumberFormat="1" applyFont="1" applyAlignment="1">
      <alignment vertical="center"/>
    </xf>
    <xf numFmtId="170" fontId="62" fillId="9" borderId="7" xfId="0" applyNumberFormat="1" applyFont="1" applyFill="1" applyBorder="1" applyAlignment="1">
      <alignment vertical="center"/>
    </xf>
    <xf numFmtId="165" fontId="165" fillId="0" borderId="0" xfId="0" applyFont="1" applyAlignment="1">
      <alignment horizontal="center" vertical="center"/>
    </xf>
    <xf numFmtId="165" fontId="85" fillId="0" borderId="4" xfId="0" applyFont="1" applyBorder="1" applyAlignment="1">
      <alignment vertical="center"/>
    </xf>
    <xf numFmtId="165" fontId="85" fillId="0" borderId="0" xfId="0" applyFont="1" applyAlignment="1">
      <alignment vertical="center"/>
    </xf>
    <xf numFmtId="165" fontId="81" fillId="0" borderId="0" xfId="0" applyFont="1" applyAlignment="1">
      <alignment vertical="center" wrapText="1"/>
    </xf>
    <xf numFmtId="174" fontId="104" fillId="0" borderId="0" xfId="0" applyNumberFormat="1" applyFont="1" applyAlignment="1">
      <alignment horizontal="right" vertical="center"/>
    </xf>
    <xf numFmtId="167" fontId="46" fillId="0" borderId="0" xfId="0" applyNumberFormat="1" applyFont="1" applyAlignment="1">
      <alignment horizontal="right" vertical="center"/>
    </xf>
    <xf numFmtId="170" fontId="70" fillId="0" borderId="0" xfId="0" applyNumberFormat="1" applyFont="1" applyAlignment="1">
      <alignment horizontal="right" vertical="center"/>
    </xf>
    <xf numFmtId="174" fontId="104" fillId="0" borderId="0" xfId="0" applyNumberFormat="1" applyFont="1" applyAlignment="1">
      <alignment horizontal="center" vertical="center"/>
    </xf>
    <xf numFmtId="174" fontId="46" fillId="0" borderId="0" xfId="0" applyNumberFormat="1" applyFont="1" applyAlignment="1">
      <alignment horizontal="center" vertical="center"/>
    </xf>
    <xf numFmtId="170" fontId="36" fillId="9" borderId="7" xfId="0" applyNumberFormat="1" applyFont="1" applyFill="1" applyBorder="1" applyAlignment="1">
      <alignment vertical="center"/>
    </xf>
    <xf numFmtId="165" fontId="68" fillId="0" borderId="0" xfId="0" applyFont="1" applyAlignment="1">
      <alignment vertical="center" wrapText="1"/>
    </xf>
    <xf numFmtId="174" fontId="45" fillId="0" borderId="0" xfId="0" applyNumberFormat="1" applyFont="1" applyAlignment="1">
      <alignment horizontal="center" vertical="center"/>
    </xf>
    <xf numFmtId="169" fontId="152" fillId="4" borderId="5" xfId="0" applyNumberFormat="1" applyFont="1" applyFill="1" applyBorder="1" applyAlignment="1">
      <alignment horizontal="left" vertical="center"/>
    </xf>
    <xf numFmtId="169" fontId="162" fillId="4" borderId="5" xfId="0" applyNumberFormat="1" applyFont="1" applyFill="1" applyBorder="1" applyAlignment="1">
      <alignment horizontal="left" vertical="center"/>
    </xf>
    <xf numFmtId="170" fontId="16" fillId="9" borderId="1" xfId="0" applyNumberFormat="1" applyFont="1" applyFill="1" applyBorder="1" applyAlignment="1">
      <alignment vertical="center"/>
    </xf>
    <xf numFmtId="171" fontId="36" fillId="9" borderId="8" xfId="1" applyNumberFormat="1" applyFont="1" applyFill="1" applyBorder="1" applyAlignment="1">
      <alignment vertical="center"/>
    </xf>
    <xf numFmtId="171" fontId="79" fillId="4" borderId="5" xfId="1" applyNumberFormat="1" applyFont="1" applyFill="1" applyBorder="1" applyAlignment="1">
      <alignment horizontal="left" vertical="center"/>
    </xf>
    <xf numFmtId="1" fontId="40" fillId="0" borderId="32" xfId="0" applyNumberFormat="1" applyFont="1" applyBorder="1" applyAlignment="1">
      <alignment horizontal="center" vertical="center"/>
    </xf>
    <xf numFmtId="165" fontId="159" fillId="3" borderId="1" xfId="0" applyFont="1" applyFill="1" applyBorder="1" applyAlignment="1">
      <alignment vertical="center"/>
    </xf>
    <xf numFmtId="179" fontId="61" fillId="3" borderId="1" xfId="0" applyNumberFormat="1" applyFont="1" applyFill="1" applyBorder="1" applyAlignment="1">
      <alignment horizontal="center" vertical="center"/>
    </xf>
    <xf numFmtId="171" fontId="36" fillId="9" borderId="1" xfId="1" applyNumberFormat="1" applyFont="1" applyFill="1" applyBorder="1" applyAlignment="1">
      <alignment vertical="center"/>
    </xf>
    <xf numFmtId="165" fontId="81" fillId="0" borderId="0" xfId="0" applyFont="1" applyAlignment="1">
      <alignment horizontal="right" vertical="center"/>
    </xf>
    <xf numFmtId="178" fontId="117" fillId="0" borderId="0" xfId="0" applyNumberFormat="1" applyFont="1" applyAlignment="1">
      <alignment horizontal="right"/>
    </xf>
    <xf numFmtId="165" fontId="171" fillId="0" borderId="0" xfId="0" applyFont="1" applyAlignment="1">
      <alignment vertical="center"/>
    </xf>
    <xf numFmtId="165" fontId="113" fillId="0" borderId="0" xfId="0" applyFont="1" applyAlignment="1">
      <alignment horizontal="right" vertical="center"/>
    </xf>
    <xf numFmtId="175" fontId="66" fillId="0" borderId="0" xfId="0" applyNumberFormat="1" applyFont="1" applyAlignment="1">
      <alignment vertical="center"/>
    </xf>
    <xf numFmtId="169" fontId="47" fillId="3" borderId="8" xfId="0" applyNumberFormat="1" applyFont="1" applyFill="1" applyBorder="1" applyAlignment="1">
      <alignment horizontal="left" vertical="center"/>
    </xf>
    <xf numFmtId="169" fontId="36" fillId="22" borderId="8" xfId="0" applyNumberFormat="1" applyFont="1" applyFill="1" applyBorder="1" applyAlignment="1">
      <alignment vertical="center"/>
    </xf>
    <xf numFmtId="175" fontId="113" fillId="0" borderId="0" xfId="0" applyNumberFormat="1" applyFont="1" applyAlignment="1">
      <alignment horizontal="right" vertical="top"/>
    </xf>
    <xf numFmtId="165" fontId="113" fillId="0" borderId="0" xfId="0" applyFont="1" applyAlignment="1">
      <alignment horizontal="right" vertical="top"/>
    </xf>
    <xf numFmtId="172" fontId="97" fillId="0" borderId="0" xfId="0" applyNumberFormat="1" applyFont="1" applyAlignment="1">
      <alignment horizontal="right" vertical="center"/>
    </xf>
    <xf numFmtId="172" fontId="97" fillId="3" borderId="0" xfId="0" applyNumberFormat="1" applyFont="1" applyFill="1" applyAlignment="1">
      <alignment horizontal="right" vertical="center"/>
    </xf>
    <xf numFmtId="172" fontId="73" fillId="3" borderId="0" xfId="0" applyNumberFormat="1" applyFont="1" applyFill="1" applyAlignment="1">
      <alignment horizontal="right" vertical="center"/>
    </xf>
    <xf numFmtId="172" fontId="70" fillId="3" borderId="0" xfId="0" applyNumberFormat="1" applyFont="1" applyFill="1" applyAlignment="1">
      <alignment horizontal="right" vertical="center"/>
    </xf>
    <xf numFmtId="172" fontId="54" fillId="3" borderId="0" xfId="0" applyNumberFormat="1" applyFont="1" applyFill="1" applyAlignment="1">
      <alignment horizontal="right" vertical="center"/>
    </xf>
    <xf numFmtId="175" fontId="70" fillId="3" borderId="0" xfId="0" applyNumberFormat="1" applyFont="1" applyFill="1" applyAlignment="1">
      <alignment horizontal="right" vertical="center"/>
    </xf>
    <xf numFmtId="172" fontId="72" fillId="3" borderId="0" xfId="0" applyNumberFormat="1" applyFont="1" applyFill="1" applyAlignment="1">
      <alignment horizontal="right" vertical="center"/>
    </xf>
    <xf numFmtId="170" fontId="16" fillId="2" borderId="1" xfId="0" applyNumberFormat="1" applyFont="1" applyFill="1" applyBorder="1" applyAlignment="1">
      <alignment vertical="center"/>
    </xf>
    <xf numFmtId="169" fontId="67" fillId="0" borderId="0" xfId="0" applyNumberFormat="1" applyFont="1"/>
    <xf numFmtId="169" fontId="79" fillId="0" borderId="0" xfId="0" applyNumberFormat="1" applyFont="1" applyAlignment="1">
      <alignment horizontal="center"/>
    </xf>
    <xf numFmtId="169" fontId="81" fillId="0" borderId="0" xfId="0" applyNumberFormat="1" applyFont="1" applyAlignment="1">
      <alignment horizontal="center"/>
    </xf>
    <xf numFmtId="169" fontId="68" fillId="0" borderId="0" xfId="0" applyNumberFormat="1" applyFont="1" applyAlignment="1">
      <alignment horizontal="center"/>
    </xf>
    <xf numFmtId="175" fontId="182" fillId="0" borderId="0" xfId="0" applyNumberFormat="1" applyFont="1" applyAlignment="1">
      <alignment horizontal="center"/>
    </xf>
    <xf numFmtId="169" fontId="92" fillId="0" borderId="0" xfId="0" applyNumberFormat="1" applyFont="1" applyAlignment="1">
      <alignment horizontal="center"/>
    </xf>
    <xf numFmtId="169" fontId="182" fillId="0" borderId="0" xfId="0" applyNumberFormat="1" applyFont="1" applyAlignment="1">
      <alignment horizontal="center"/>
    </xf>
    <xf numFmtId="170" fontId="47" fillId="0" borderId="0" xfId="0" applyNumberFormat="1" applyFont="1" applyAlignment="1">
      <alignment horizontal="center" vertical="center"/>
    </xf>
    <xf numFmtId="172" fontId="97" fillId="16" borderId="0" xfId="0" applyNumberFormat="1" applyFont="1" applyFill="1" applyAlignment="1">
      <alignment horizontal="left" vertical="center"/>
    </xf>
    <xf numFmtId="175" fontId="194" fillId="3" borderId="0" xfId="0" applyNumberFormat="1" applyFont="1" applyFill="1" applyAlignment="1">
      <alignment horizontal="right" vertical="center"/>
    </xf>
    <xf numFmtId="167" fontId="66" fillId="0" borderId="0" xfId="0" applyNumberFormat="1" applyFont="1" applyAlignment="1">
      <alignment horizontal="center"/>
    </xf>
    <xf numFmtId="175" fontId="97" fillId="16" borderId="0" xfId="0" applyNumberFormat="1" applyFont="1" applyFill="1" applyAlignment="1">
      <alignment horizontal="right" vertical="center"/>
    </xf>
    <xf numFmtId="175" fontId="66" fillId="0" borderId="0" xfId="0" applyNumberFormat="1" applyFont="1" applyAlignment="1">
      <alignment horizontal="center"/>
    </xf>
    <xf numFmtId="169" fontId="97" fillId="16" borderId="0" xfId="0" applyNumberFormat="1" applyFont="1" applyFill="1" applyAlignment="1">
      <alignment horizontal="right" vertical="center"/>
    </xf>
    <xf numFmtId="166" fontId="16" fillId="15" borderId="0" xfId="0" applyNumberFormat="1" applyFont="1" applyFill="1" applyAlignment="1">
      <alignment vertical="center"/>
    </xf>
    <xf numFmtId="165" fontId="24" fillId="0" borderId="1" xfId="0" applyFont="1" applyBorder="1" applyAlignment="1">
      <alignment vertical="center"/>
    </xf>
    <xf numFmtId="175" fontId="24" fillId="0" borderId="1" xfId="0" applyNumberFormat="1" applyFont="1" applyBorder="1" applyAlignment="1">
      <alignment horizontal="center" vertical="center"/>
    </xf>
    <xf numFmtId="165" fontId="24" fillId="0" borderId="1" xfId="0" applyFont="1" applyBorder="1" applyAlignment="1">
      <alignment horizontal="center" vertical="center"/>
    </xf>
    <xf numFmtId="170" fontId="137" fillId="0" borderId="0" xfId="0" applyNumberFormat="1" applyFont="1" applyAlignment="1">
      <alignment horizontal="right" vertical="center"/>
    </xf>
    <xf numFmtId="165" fontId="110" fillId="0" borderId="0" xfId="0" applyFont="1" applyAlignment="1">
      <alignment horizontal="center" vertical="center" wrapText="1"/>
    </xf>
    <xf numFmtId="166" fontId="195" fillId="0" borderId="4" xfId="0" applyNumberFormat="1" applyFont="1" applyBorder="1" applyAlignment="1">
      <alignment vertical="center"/>
    </xf>
    <xf numFmtId="170" fontId="183" fillId="0" borderId="0" xfId="0" applyNumberFormat="1" applyFont="1" applyAlignment="1">
      <alignment horizontal="center" vertical="center"/>
    </xf>
    <xf numFmtId="166" fontId="196" fillId="0" borderId="0" xfId="0" applyNumberFormat="1" applyFont="1" applyAlignment="1">
      <alignment vertical="center"/>
    </xf>
    <xf numFmtId="166" fontId="195" fillId="0" borderId="0" xfId="0" applyNumberFormat="1" applyFont="1" applyAlignment="1">
      <alignment vertical="center"/>
    </xf>
    <xf numFmtId="165" fontId="198" fillId="3" borderId="1" xfId="0" applyFont="1" applyFill="1" applyBorder="1" applyAlignment="1">
      <alignment vertical="center"/>
    </xf>
    <xf numFmtId="175" fontId="160" fillId="3" borderId="1" xfId="0" applyNumberFormat="1" applyFont="1" applyFill="1" applyBorder="1" applyAlignment="1">
      <alignment horizontal="center" vertical="center"/>
    </xf>
    <xf numFmtId="166" fontId="14" fillId="15" borderId="0" xfId="0" applyNumberFormat="1" applyFont="1" applyFill="1" applyAlignment="1">
      <alignment horizontal="right" vertical="center"/>
    </xf>
    <xf numFmtId="165" fontId="171" fillId="0" borderId="0" xfId="0" applyFont="1" applyAlignment="1">
      <alignment horizontal="right" vertical="center"/>
    </xf>
    <xf numFmtId="165" fontId="47" fillId="3" borderId="1" xfId="0" applyFont="1" applyFill="1" applyBorder="1" applyAlignment="1">
      <alignment horizontal="right" vertical="center"/>
    </xf>
    <xf numFmtId="165" fontId="197" fillId="0" borderId="0" xfId="0" applyFont="1" applyAlignment="1">
      <alignment horizontal="right" vertical="center"/>
    </xf>
    <xf numFmtId="169" fontId="36" fillId="3" borderId="1" xfId="0" applyNumberFormat="1" applyFont="1" applyFill="1" applyBorder="1" applyAlignment="1">
      <alignment horizontal="right" vertical="center"/>
    </xf>
    <xf numFmtId="165" fontId="58" fillId="0" borderId="0" xfId="0" applyFont="1" applyAlignment="1">
      <alignment horizontal="right" vertical="center"/>
    </xf>
    <xf numFmtId="169" fontId="103" fillId="0" borderId="4" xfId="0" applyNumberFormat="1" applyFont="1" applyBorder="1" applyAlignment="1">
      <alignment horizontal="right" vertical="center"/>
    </xf>
    <xf numFmtId="165" fontId="66" fillId="0" borderId="0" xfId="0" applyFont="1" applyAlignment="1">
      <alignment horizontal="right" vertical="center" wrapText="1"/>
    </xf>
    <xf numFmtId="172" fontId="119" fillId="3" borderId="0" xfId="0" applyNumberFormat="1" applyFont="1" applyFill="1" applyAlignment="1">
      <alignment horizontal="right" vertical="center"/>
    </xf>
    <xf numFmtId="166" fontId="2" fillId="0" borderId="4" xfId="0" applyNumberFormat="1" applyFont="1" applyBorder="1" applyAlignment="1">
      <alignment horizontal="right" vertical="center"/>
    </xf>
    <xf numFmtId="166" fontId="168" fillId="0" borderId="0" xfId="0" applyNumberFormat="1" applyFont="1" applyAlignment="1">
      <alignment horizontal="right" vertical="center"/>
    </xf>
    <xf numFmtId="166" fontId="168" fillId="0" borderId="0" xfId="0" applyNumberFormat="1" applyFont="1" applyAlignment="1">
      <alignment horizontal="right"/>
    </xf>
    <xf numFmtId="14" fontId="66" fillId="0" borderId="4" xfId="0" applyNumberFormat="1" applyFont="1" applyBorder="1" applyAlignment="1">
      <alignment horizontal="right"/>
    </xf>
    <xf numFmtId="170" fontId="178" fillId="0" borderId="0" xfId="0" applyNumberFormat="1" applyFont="1" applyAlignment="1">
      <alignment horizontal="right" vertical="center"/>
    </xf>
    <xf numFmtId="166" fontId="9" fillId="0" borderId="0" xfId="0" applyNumberFormat="1" applyFont="1" applyAlignment="1">
      <alignment horizontal="right" vertical="center"/>
    </xf>
    <xf numFmtId="166" fontId="5" fillId="0" borderId="0" xfId="0" applyNumberFormat="1" applyFont="1" applyAlignment="1">
      <alignment horizontal="right" vertical="center"/>
    </xf>
    <xf numFmtId="166" fontId="2" fillId="0" borderId="0" xfId="0" applyNumberFormat="1" applyFont="1" applyAlignment="1">
      <alignment horizontal="right" vertical="center"/>
    </xf>
    <xf numFmtId="164" fontId="102" fillId="25" borderId="5" xfId="0" applyNumberFormat="1" applyFont="1" applyFill="1" applyBorder="1" applyAlignment="1">
      <alignment horizontal="left" vertical="center"/>
    </xf>
    <xf numFmtId="165" fontId="4" fillId="0" borderId="0" xfId="0" applyFont="1" applyAlignment="1">
      <alignment horizontal="right" vertical="center"/>
    </xf>
    <xf numFmtId="175" fontId="104" fillId="0" borderId="0" xfId="0" applyNumberFormat="1" applyFont="1" applyAlignment="1">
      <alignment horizontal="center"/>
    </xf>
    <xf numFmtId="167" fontId="203" fillId="0" borderId="0" xfId="0" applyNumberFormat="1" applyFont="1" applyAlignment="1">
      <alignment horizontal="center"/>
    </xf>
    <xf numFmtId="175" fontId="118" fillId="23" borderId="1" xfId="0" applyNumberFormat="1" applyFont="1" applyFill="1" applyBorder="1" applyAlignment="1">
      <alignment vertical="center"/>
    </xf>
    <xf numFmtId="165" fontId="57" fillId="0" borderId="0" xfId="0" applyFont="1" applyAlignment="1">
      <alignment horizontal="center" vertical="center"/>
    </xf>
    <xf numFmtId="165" fontId="4" fillId="0" borderId="0" xfId="0" applyFont="1" applyAlignment="1" applyProtection="1">
      <alignment vertical="center"/>
      <protection locked="0"/>
    </xf>
    <xf numFmtId="169" fontId="23" fillId="13" borderId="1" xfId="0" applyNumberFormat="1" applyFont="1" applyFill="1" applyBorder="1" applyAlignment="1" applyProtection="1">
      <alignment vertical="center"/>
      <protection locked="0"/>
    </xf>
    <xf numFmtId="14" fontId="16" fillId="13" borderId="1" xfId="0" applyNumberFormat="1" applyFont="1" applyFill="1" applyBorder="1" applyAlignment="1" applyProtection="1">
      <alignment vertical="center"/>
      <protection locked="0"/>
    </xf>
    <xf numFmtId="14" fontId="16" fillId="9" borderId="1" xfId="0" applyNumberFormat="1" applyFont="1" applyFill="1" applyBorder="1" applyAlignment="1" applyProtection="1">
      <alignment vertical="center"/>
      <protection locked="0"/>
    </xf>
    <xf numFmtId="1" fontId="68" fillId="26" borderId="1" xfId="0" applyNumberFormat="1" applyFont="1" applyFill="1" applyBorder="1" applyAlignment="1" applyProtection="1">
      <alignment horizontal="center" vertical="center"/>
      <protection locked="0"/>
    </xf>
    <xf numFmtId="169" fontId="36" fillId="13" borderId="1" xfId="0" applyNumberFormat="1" applyFont="1" applyFill="1" applyBorder="1" applyAlignment="1" applyProtection="1">
      <alignment horizontal="right" vertical="center"/>
      <protection locked="0"/>
    </xf>
    <xf numFmtId="14" fontId="16" fillId="13" borderId="1" xfId="2" applyNumberFormat="1" applyFont="1" applyFill="1" applyBorder="1" applyAlignment="1" applyProtection="1">
      <alignment horizontal="center" vertical="center"/>
      <protection locked="0"/>
    </xf>
    <xf numFmtId="177" fontId="16" fillId="13" borderId="1" xfId="0" applyNumberFormat="1" applyFont="1" applyFill="1" applyBorder="1" applyAlignment="1" applyProtection="1">
      <alignment horizontal="right" vertical="center"/>
      <protection locked="0"/>
    </xf>
    <xf numFmtId="170" fontId="41" fillId="13" borderId="1" xfId="0" quotePrefix="1" applyNumberFormat="1" applyFont="1" applyFill="1" applyBorder="1" applyAlignment="1" applyProtection="1">
      <alignment vertical="center"/>
      <protection locked="0"/>
    </xf>
    <xf numFmtId="172" fontId="62" fillId="13" borderId="1" xfId="0" quotePrefix="1" applyNumberFormat="1" applyFont="1" applyFill="1" applyBorder="1" applyAlignment="1" applyProtection="1">
      <alignment vertical="center"/>
      <protection locked="0"/>
    </xf>
    <xf numFmtId="172" fontId="41" fillId="13" borderId="1" xfId="0" applyNumberFormat="1" applyFont="1" applyFill="1" applyBorder="1" applyAlignment="1" applyProtection="1">
      <alignment vertical="center"/>
      <protection locked="0"/>
    </xf>
    <xf numFmtId="172" fontId="41" fillId="13" borderId="1" xfId="0" applyNumberFormat="1" applyFont="1" applyFill="1" applyBorder="1" applyAlignment="1" applyProtection="1">
      <alignment horizontal="left" vertical="center"/>
      <protection locked="0"/>
    </xf>
    <xf numFmtId="172" fontId="41" fillId="13" borderId="1" xfId="0" quotePrefix="1" applyNumberFormat="1" applyFont="1" applyFill="1" applyBorder="1" applyAlignment="1" applyProtection="1">
      <alignment horizontal="center" vertical="center"/>
      <protection locked="0"/>
    </xf>
    <xf numFmtId="177" fontId="78" fillId="13" borderId="1" xfId="0" applyNumberFormat="1" applyFont="1" applyFill="1" applyBorder="1" applyAlignment="1" applyProtection="1">
      <alignment horizontal="right" vertical="center"/>
      <protection locked="0"/>
    </xf>
    <xf numFmtId="172" fontId="16" fillId="13" borderId="1" xfId="0" applyNumberFormat="1" applyFont="1" applyFill="1" applyBorder="1" applyAlignment="1" applyProtection="1">
      <alignment vertical="center"/>
      <protection locked="0"/>
    </xf>
    <xf numFmtId="3" fontId="38" fillId="0" borderId="0" xfId="0" applyNumberFormat="1" applyFont="1" applyAlignment="1" applyProtection="1">
      <alignment vertical="center"/>
      <protection locked="0"/>
    </xf>
    <xf numFmtId="175" fontId="16" fillId="13" borderId="1" xfId="0" applyNumberFormat="1" applyFont="1" applyFill="1" applyBorder="1" applyAlignment="1" applyProtection="1">
      <alignment horizontal="right" vertical="center"/>
      <protection locked="0"/>
    </xf>
    <xf numFmtId="165" fontId="48" fillId="13" borderId="1" xfId="0" applyFont="1" applyFill="1" applyBorder="1" applyAlignment="1" applyProtection="1">
      <alignment horizontal="center" vertical="center"/>
      <protection locked="0"/>
    </xf>
    <xf numFmtId="169" fontId="41" fillId="22" borderId="1" xfId="0" applyNumberFormat="1" applyFont="1" applyFill="1" applyBorder="1" applyAlignment="1">
      <alignment horizontal="right" vertical="center"/>
    </xf>
    <xf numFmtId="169" fontId="36" fillId="17" borderId="1" xfId="0" applyNumberFormat="1" applyFont="1" applyFill="1" applyBorder="1" applyAlignment="1">
      <alignment horizontal="right" vertical="center"/>
    </xf>
    <xf numFmtId="172" fontId="46" fillId="23" borderId="1" xfId="0" applyNumberFormat="1" applyFont="1" applyFill="1" applyBorder="1" applyAlignment="1">
      <alignment vertical="center"/>
    </xf>
    <xf numFmtId="170" fontId="79" fillId="0" borderId="0" xfId="0" applyNumberFormat="1" applyFont="1" applyAlignment="1">
      <alignment horizontal="left" vertical="center"/>
    </xf>
    <xf numFmtId="165" fontId="66" fillId="0" borderId="0" xfId="0" applyFont="1" applyAlignment="1">
      <alignment horizontal="left" vertical="center"/>
    </xf>
    <xf numFmtId="165" fontId="208" fillId="0" borderId="0" xfId="0" applyFont="1" applyAlignment="1">
      <alignment vertical="center"/>
    </xf>
    <xf numFmtId="169" fontId="102" fillId="0" borderId="0" xfId="0" applyNumberFormat="1" applyFont="1" applyAlignment="1">
      <alignment vertical="top"/>
    </xf>
    <xf numFmtId="172" fontId="202" fillId="12" borderId="1" xfId="0" applyNumberFormat="1" applyFont="1" applyFill="1" applyBorder="1" applyAlignment="1">
      <alignment vertical="center"/>
    </xf>
    <xf numFmtId="171" fontId="200" fillId="9" borderId="1" xfId="1" applyNumberFormat="1" applyFont="1" applyFill="1" applyBorder="1" applyAlignment="1">
      <alignment horizontal="right" vertical="center"/>
    </xf>
    <xf numFmtId="172" fontId="56" fillId="14" borderId="1" xfId="0" applyNumberFormat="1" applyFont="1" applyFill="1" applyBorder="1" applyAlignment="1">
      <alignment horizontal="right" vertical="center"/>
    </xf>
    <xf numFmtId="165" fontId="210" fillId="0" borderId="0" xfId="0" applyFont="1" applyAlignment="1">
      <alignment horizontal="center" vertical="center"/>
    </xf>
    <xf numFmtId="177" fontId="46" fillId="0" borderId="0" xfId="0" applyNumberFormat="1" applyFont="1" applyAlignment="1">
      <alignment horizontal="center"/>
    </xf>
    <xf numFmtId="165" fontId="212" fillId="0" borderId="0" xfId="0" quotePrefix="1" applyFont="1" applyAlignment="1" applyProtection="1">
      <alignment horizontal="left"/>
      <protection locked="0"/>
    </xf>
    <xf numFmtId="164" fontId="102" fillId="25" borderId="5" xfId="0" applyNumberFormat="1" applyFont="1" applyFill="1" applyBorder="1" applyAlignment="1">
      <alignment horizontal="right" vertical="center"/>
    </xf>
    <xf numFmtId="169" fontId="70" fillId="0" borderId="0" xfId="0" applyNumberFormat="1" applyFont="1" applyAlignment="1">
      <alignment vertical="top"/>
    </xf>
    <xf numFmtId="169" fontId="152" fillId="0" borderId="0" xfId="0" applyNumberFormat="1" applyFont="1" applyAlignment="1">
      <alignment horizontal="left" vertical="center"/>
    </xf>
    <xf numFmtId="164" fontId="214" fillId="0" borderId="32" xfId="0" applyNumberFormat="1" applyFont="1" applyBorder="1" applyAlignment="1">
      <alignment horizontal="center" vertical="center"/>
    </xf>
    <xf numFmtId="165" fontId="4" fillId="15" borderId="0" xfId="0" applyFont="1" applyFill="1" applyAlignment="1">
      <alignment horizontal="center" vertical="center"/>
    </xf>
    <xf numFmtId="169" fontId="215" fillId="0" borderId="0" xfId="0" applyNumberFormat="1" applyFont="1" applyAlignment="1">
      <alignment horizontal="center"/>
    </xf>
    <xf numFmtId="164" fontId="214" fillId="0" borderId="3" xfId="0" applyNumberFormat="1" applyFont="1" applyBorder="1" applyAlignment="1">
      <alignment horizontal="center" vertical="center"/>
    </xf>
    <xf numFmtId="164" fontId="214" fillId="0" borderId="33" xfId="0" applyNumberFormat="1" applyFont="1" applyBorder="1" applyAlignment="1">
      <alignment horizontal="center" vertical="center"/>
    </xf>
    <xf numFmtId="165" fontId="216" fillId="0" borderId="0" xfId="0" applyFont="1" applyAlignment="1">
      <alignment horizontal="center" vertical="center"/>
    </xf>
    <xf numFmtId="165" fontId="217" fillId="0" borderId="0" xfId="0" applyFont="1" applyAlignment="1">
      <alignment horizontal="center" vertical="center"/>
    </xf>
    <xf numFmtId="165" fontId="213" fillId="0" borderId="0" xfId="0" applyFont="1" applyAlignment="1">
      <alignment horizontal="center" vertical="center"/>
    </xf>
    <xf numFmtId="165" fontId="218" fillId="0" borderId="0" xfId="0" applyFont="1" applyAlignment="1">
      <alignment horizontal="center" vertical="center"/>
    </xf>
    <xf numFmtId="165" fontId="219" fillId="0" borderId="0" xfId="0" applyFont="1" applyAlignment="1">
      <alignment horizontal="center" vertical="center"/>
    </xf>
    <xf numFmtId="165" fontId="220" fillId="0" borderId="0" xfId="0" applyFont="1" applyAlignment="1">
      <alignment horizontal="center" vertical="center"/>
    </xf>
    <xf numFmtId="169" fontId="221" fillId="0" borderId="0" xfId="0" applyNumberFormat="1" applyFont="1" applyAlignment="1">
      <alignment horizontal="center"/>
    </xf>
    <xf numFmtId="165" fontId="66" fillId="0" borderId="0" xfId="0" applyFont="1" applyAlignment="1">
      <alignment vertical="center"/>
    </xf>
    <xf numFmtId="177" fontId="105" fillId="0" borderId="0" xfId="0" applyNumberFormat="1" applyFont="1" applyAlignment="1" applyProtection="1">
      <alignment horizontal="center" vertical="center"/>
      <protection locked="0"/>
    </xf>
    <xf numFmtId="169" fontId="66" fillId="0" borderId="0" xfId="0" applyNumberFormat="1" applyFont="1" applyAlignment="1">
      <alignment horizontal="left" vertical="center"/>
    </xf>
    <xf numFmtId="175" fontId="200" fillId="28" borderId="5" xfId="0" applyNumberFormat="1" applyFont="1" applyFill="1" applyBorder="1" applyAlignment="1">
      <alignment horizontal="center" vertical="center"/>
    </xf>
    <xf numFmtId="169" fontId="16" fillId="2" borderId="1" xfId="0" applyNumberFormat="1" applyFont="1" applyFill="1" applyBorder="1" applyAlignment="1">
      <alignment vertical="center"/>
    </xf>
    <xf numFmtId="175" fontId="103" fillId="0" borderId="0" xfId="0" applyNumberFormat="1" applyFont="1" applyAlignment="1">
      <alignment horizontal="right" vertical="center"/>
    </xf>
    <xf numFmtId="175" fontId="137" fillId="0" borderId="0" xfId="0" applyNumberFormat="1" applyFont="1" applyAlignment="1">
      <alignment horizontal="right" vertical="center"/>
    </xf>
    <xf numFmtId="175" fontId="224" fillId="0" borderId="4" xfId="0" applyNumberFormat="1" applyFont="1" applyBorder="1" applyAlignment="1">
      <alignment horizontal="right"/>
    </xf>
    <xf numFmtId="175" fontId="103" fillId="0" borderId="4" xfId="0" applyNumberFormat="1" applyFont="1" applyBorder="1" applyAlignment="1">
      <alignment horizontal="right"/>
    </xf>
    <xf numFmtId="175" fontId="110" fillId="0" borderId="0" xfId="0" applyNumberFormat="1" applyFont="1" applyAlignment="1">
      <alignment horizontal="right" vertical="center"/>
    </xf>
    <xf numFmtId="175" fontId="180" fillId="0" borderId="0" xfId="0" applyNumberFormat="1" applyFont="1" applyAlignment="1">
      <alignment horizontal="right" vertical="center"/>
    </xf>
    <xf numFmtId="175" fontId="224" fillId="0" borderId="0" xfId="0" applyNumberFormat="1" applyFont="1" applyAlignment="1">
      <alignment horizontal="right"/>
    </xf>
    <xf numFmtId="175" fontId="16" fillId="2" borderId="1" xfId="0" applyNumberFormat="1" applyFont="1" applyFill="1" applyBorder="1" applyAlignment="1">
      <alignment horizontal="right" vertical="center"/>
    </xf>
    <xf numFmtId="172" fontId="42" fillId="10" borderId="8" xfId="0" applyNumberFormat="1" applyFont="1" applyFill="1" applyBorder="1" applyAlignment="1">
      <alignment horizontal="right" vertical="center"/>
    </xf>
    <xf numFmtId="172" fontId="42" fillId="10" borderId="7" xfId="0" applyNumberFormat="1" applyFont="1" applyFill="1" applyBorder="1" applyAlignment="1">
      <alignment horizontal="right" vertical="center"/>
    </xf>
    <xf numFmtId="172" fontId="193" fillId="31" borderId="1" xfId="0" applyNumberFormat="1" applyFont="1" applyFill="1" applyBorder="1" applyAlignment="1">
      <alignment vertical="center"/>
    </xf>
    <xf numFmtId="167" fontId="133" fillId="0" borderId="0" xfId="0" applyNumberFormat="1" applyFont="1" applyAlignment="1">
      <alignment horizontal="center"/>
    </xf>
    <xf numFmtId="165" fontId="33" fillId="0" borderId="0" xfId="0" applyFont="1" applyAlignment="1">
      <alignment horizontal="left" vertical="center"/>
    </xf>
    <xf numFmtId="14" fontId="108" fillId="22" borderId="32" xfId="0" applyNumberFormat="1" applyFont="1" applyFill="1" applyBorder="1" applyAlignment="1">
      <alignment horizontal="left" vertical="center"/>
    </xf>
    <xf numFmtId="14" fontId="108" fillId="4" borderId="0" xfId="0" applyNumberFormat="1" applyFont="1" applyFill="1" applyAlignment="1">
      <alignment horizontal="left" vertical="center"/>
    </xf>
    <xf numFmtId="14" fontId="108" fillId="4" borderId="9" xfId="0" applyNumberFormat="1" applyFont="1" applyFill="1" applyBorder="1" applyAlignment="1">
      <alignment horizontal="left" vertical="center"/>
    </xf>
    <xf numFmtId="165" fontId="225" fillId="0" borderId="0" xfId="0" applyFont="1" applyAlignment="1">
      <alignment horizontal="left" vertical="center"/>
    </xf>
    <xf numFmtId="172" fontId="33" fillId="0" borderId="0" xfId="0" applyNumberFormat="1" applyFont="1" applyAlignment="1">
      <alignment horizontal="left" vertical="center"/>
    </xf>
    <xf numFmtId="14" fontId="16" fillId="9" borderId="1" xfId="0" quotePrefix="1" applyNumberFormat="1" applyFont="1" applyFill="1" applyBorder="1" applyAlignment="1" applyProtection="1">
      <alignment vertical="center"/>
      <protection locked="0"/>
    </xf>
    <xf numFmtId="175" fontId="46" fillId="0" borderId="1" xfId="0" applyNumberFormat="1" applyFont="1" applyBorder="1" applyAlignment="1">
      <alignment horizontal="center"/>
    </xf>
    <xf numFmtId="165" fontId="53" fillId="4" borderId="3" xfId="0" applyFont="1" applyFill="1" applyBorder="1" applyAlignment="1">
      <alignment horizontal="center" vertical="center"/>
    </xf>
    <xf numFmtId="180" fontId="111" fillId="0" borderId="0" xfId="0" applyNumberFormat="1" applyFont="1" applyAlignment="1">
      <alignment horizontal="center" vertical="center"/>
    </xf>
    <xf numFmtId="175" fontId="103" fillId="4" borderId="7" xfId="0" applyNumberFormat="1" applyFont="1" applyFill="1" applyBorder="1" applyAlignment="1">
      <alignment horizontal="right" vertical="center"/>
    </xf>
    <xf numFmtId="167" fontId="68" fillId="0" borderId="0" xfId="0" applyNumberFormat="1" applyFont="1" applyAlignment="1">
      <alignment horizontal="center" vertical="center"/>
    </xf>
    <xf numFmtId="167" fontId="76" fillId="0" borderId="0" xfId="0" applyNumberFormat="1" applyFont="1" applyAlignment="1">
      <alignment horizontal="left" vertical="center"/>
    </xf>
    <xf numFmtId="1" fontId="68" fillId="3" borderId="1" xfId="0" applyNumberFormat="1" applyFont="1" applyFill="1" applyBorder="1" applyAlignment="1">
      <alignment horizontal="center" vertical="center"/>
    </xf>
    <xf numFmtId="165" fontId="68" fillId="15" borderId="0" xfId="0" applyFont="1" applyFill="1" applyAlignment="1">
      <alignment horizontal="left" vertical="center"/>
    </xf>
    <xf numFmtId="169" fontId="54" fillId="0" borderId="0" xfId="0" applyNumberFormat="1" applyFont="1" applyAlignment="1">
      <alignment horizontal="left"/>
    </xf>
    <xf numFmtId="165" fontId="40" fillId="0" borderId="4" xfId="0" applyFont="1" applyBorder="1" applyAlignment="1">
      <alignment vertical="center"/>
    </xf>
    <xf numFmtId="165" fontId="76" fillId="0" borderId="0" xfId="0" applyFont="1" applyAlignment="1">
      <alignment horizontal="left" vertical="center"/>
    </xf>
    <xf numFmtId="169" fontId="54" fillId="0" borderId="0" xfId="0" applyNumberFormat="1" applyFont="1" applyAlignment="1">
      <alignment horizontal="left" vertical="top"/>
    </xf>
    <xf numFmtId="169" fontId="54" fillId="0" borderId="0" xfId="0" applyNumberFormat="1" applyFont="1" applyAlignment="1">
      <alignment horizontal="left" vertical="center"/>
    </xf>
    <xf numFmtId="169" fontId="76" fillId="0" borderId="0" xfId="0" applyNumberFormat="1" applyFont="1" applyAlignment="1">
      <alignment horizontal="left" vertical="top"/>
    </xf>
    <xf numFmtId="165" fontId="68" fillId="0" borderId="0" xfId="0" applyFont="1" applyAlignment="1">
      <alignment horizontal="left" vertical="center"/>
    </xf>
    <xf numFmtId="14" fontId="68" fillId="0" borderId="4" xfId="0" applyNumberFormat="1" applyFont="1" applyBorder="1" applyAlignment="1">
      <alignment horizontal="left" vertical="center"/>
    </xf>
    <xf numFmtId="165" fontId="179" fillId="0" borderId="0" xfId="0" applyFont="1" applyAlignment="1">
      <alignment horizontal="left" vertical="center"/>
    </xf>
    <xf numFmtId="165" fontId="226" fillId="0" borderId="0" xfId="0" applyFont="1" applyAlignment="1">
      <alignment horizontal="left" vertical="center"/>
    </xf>
    <xf numFmtId="164" fontId="118" fillId="3" borderId="1" xfId="0" applyNumberFormat="1" applyFont="1" applyFill="1" applyBorder="1" applyAlignment="1">
      <alignment horizontal="left" vertical="center"/>
    </xf>
    <xf numFmtId="164" fontId="227" fillId="3" borderId="1" xfId="0" applyNumberFormat="1" applyFont="1" applyFill="1" applyBorder="1" applyAlignment="1">
      <alignment horizontal="left" vertical="center"/>
    </xf>
    <xf numFmtId="167" fontId="76" fillId="0" borderId="0" xfId="0" applyNumberFormat="1" applyFont="1" applyAlignment="1">
      <alignment horizontal="right" vertical="center"/>
    </xf>
    <xf numFmtId="169" fontId="222" fillId="0" borderId="0" xfId="0" applyNumberFormat="1" applyFont="1" applyAlignment="1">
      <alignment horizontal="right" vertical="center"/>
    </xf>
    <xf numFmtId="165" fontId="36" fillId="0" borderId="0" xfId="0" applyFont="1" applyAlignment="1">
      <alignment horizontal="right" vertical="center"/>
    </xf>
    <xf numFmtId="1" fontId="68" fillId="30" borderId="1" xfId="0" applyNumberFormat="1" applyFont="1" applyFill="1" applyBorder="1" applyAlignment="1" applyProtection="1">
      <alignment horizontal="center" vertical="center"/>
      <protection locked="0"/>
    </xf>
    <xf numFmtId="1" fontId="68" fillId="30" borderId="1" xfId="0" applyNumberFormat="1" applyFont="1" applyFill="1" applyBorder="1" applyAlignment="1">
      <alignment horizontal="center" vertical="center"/>
    </xf>
    <xf numFmtId="1" fontId="38" fillId="30" borderId="1" xfId="0" applyNumberFormat="1" applyFont="1" applyFill="1" applyBorder="1" applyAlignment="1">
      <alignment horizontal="center" vertical="center"/>
    </xf>
    <xf numFmtId="164" fontId="212" fillId="30" borderId="3" xfId="0" applyNumberFormat="1" applyFont="1" applyFill="1" applyBorder="1" applyAlignment="1">
      <alignment horizontal="center" vertical="center"/>
    </xf>
    <xf numFmtId="174" fontId="81" fillId="22" borderId="1" xfId="0" applyNumberFormat="1" applyFont="1" applyFill="1" applyBorder="1" applyAlignment="1">
      <alignment horizontal="center" vertical="center"/>
    </xf>
    <xf numFmtId="169" fontId="54" fillId="0" borderId="1" xfId="0" applyNumberFormat="1" applyFont="1" applyBorder="1" applyAlignment="1">
      <alignment horizontal="center" vertical="center"/>
    </xf>
    <xf numFmtId="3" fontId="100" fillId="22" borderId="1" xfId="0" applyNumberFormat="1" applyFont="1" applyFill="1" applyBorder="1" applyAlignment="1">
      <alignment horizontal="center" vertical="center"/>
    </xf>
    <xf numFmtId="165" fontId="228" fillId="0" borderId="0" xfId="0" applyFont="1" applyAlignment="1">
      <alignment horizontal="right" vertical="center"/>
    </xf>
    <xf numFmtId="3" fontId="193" fillId="32" borderId="8" xfId="0" applyNumberFormat="1" applyFont="1" applyFill="1" applyBorder="1" applyAlignment="1">
      <alignment horizontal="center" vertical="center"/>
    </xf>
    <xf numFmtId="3" fontId="229" fillId="30" borderId="1" xfId="0" applyNumberFormat="1" applyFont="1" applyFill="1" applyBorder="1" applyAlignment="1">
      <alignment horizontal="center" vertical="center"/>
    </xf>
    <xf numFmtId="3" fontId="193" fillId="12" borderId="0" xfId="0" applyNumberFormat="1" applyFont="1" applyFill="1" applyAlignment="1">
      <alignment horizontal="center" vertical="center"/>
    </xf>
    <xf numFmtId="3" fontId="193" fillId="32" borderId="0" xfId="0" applyNumberFormat="1" applyFont="1" applyFill="1" applyAlignment="1">
      <alignment horizontal="center" vertical="center"/>
    </xf>
    <xf numFmtId="179" fontId="199" fillId="2" borderId="1" xfId="0" applyNumberFormat="1" applyFont="1" applyFill="1" applyBorder="1" applyAlignment="1">
      <alignment horizontal="center" vertical="center"/>
    </xf>
    <xf numFmtId="164" fontId="212" fillId="30" borderId="1" xfId="0" applyNumberFormat="1" applyFont="1" applyFill="1" applyBorder="1" applyAlignment="1">
      <alignment horizontal="center" vertical="center"/>
    </xf>
    <xf numFmtId="3" fontId="229" fillId="33" borderId="1" xfId="0" applyNumberFormat="1" applyFont="1" applyFill="1" applyBorder="1" applyAlignment="1">
      <alignment horizontal="center" vertical="center"/>
    </xf>
    <xf numFmtId="165" fontId="230" fillId="0" borderId="0" xfId="0" applyFont="1" applyAlignment="1">
      <alignment vertical="center"/>
    </xf>
    <xf numFmtId="175" fontId="231" fillId="0" borderId="0" xfId="0" applyNumberFormat="1" applyFont="1" applyAlignment="1">
      <alignment horizontal="right" vertical="top"/>
    </xf>
    <xf numFmtId="165" fontId="107" fillId="0" borderId="32" xfId="0" applyFont="1" applyBorder="1" applyAlignment="1" applyProtection="1">
      <alignment horizontal="center" vertical="top"/>
      <protection locked="0"/>
    </xf>
    <xf numFmtId="14" fontId="232" fillId="0" borderId="0" xfId="0" applyNumberFormat="1" applyFont="1" applyAlignment="1">
      <alignment horizontal="left" vertical="center"/>
    </xf>
    <xf numFmtId="170" fontId="232" fillId="0" borderId="34" xfId="0" applyNumberFormat="1" applyFont="1" applyBorder="1" applyAlignment="1">
      <alignment horizontal="right" vertical="center"/>
    </xf>
    <xf numFmtId="165" fontId="103" fillId="0" borderId="0" xfId="0" applyFont="1" applyAlignment="1">
      <alignment horizontal="center" vertical="center"/>
    </xf>
    <xf numFmtId="165" fontId="66" fillId="0" borderId="0" xfId="0" applyFont="1" applyAlignment="1">
      <alignment horizontal="center" vertical="center"/>
    </xf>
    <xf numFmtId="167" fontId="45" fillId="0" borderId="0" xfId="0" applyNumberFormat="1" applyFont="1" applyAlignment="1">
      <alignment horizontal="center" vertical="center"/>
    </xf>
    <xf numFmtId="175" fontId="103" fillId="11" borderId="7" xfId="0" applyNumberFormat="1" applyFont="1" applyFill="1" applyBorder="1" applyAlignment="1">
      <alignment horizontal="right" vertical="center"/>
    </xf>
    <xf numFmtId="172" fontId="48" fillId="11" borderId="8" xfId="0" applyNumberFormat="1" applyFont="1" applyFill="1" applyBorder="1" applyAlignment="1">
      <alignment horizontal="center" vertical="center"/>
    </xf>
    <xf numFmtId="165" fontId="83" fillId="0" borderId="0" xfId="0" applyFont="1" applyAlignment="1">
      <alignment horizontal="right" vertical="center"/>
    </xf>
    <xf numFmtId="165" fontId="140" fillId="0" borderId="0" xfId="0" applyFont="1" applyAlignment="1">
      <alignment horizontal="left" vertical="center"/>
    </xf>
    <xf numFmtId="165" fontId="84" fillId="0" borderId="0" xfId="0" applyFont="1" applyAlignment="1">
      <alignment horizontal="right" vertical="center"/>
    </xf>
    <xf numFmtId="167" fontId="66" fillId="0" borderId="0" xfId="0" applyNumberFormat="1" applyFont="1" applyAlignment="1">
      <alignment horizontal="right" vertical="center"/>
    </xf>
    <xf numFmtId="172" fontId="62" fillId="20" borderId="1" xfId="0" applyNumberFormat="1" applyFont="1" applyFill="1" applyBorder="1" applyAlignment="1">
      <alignment horizontal="center" vertical="center"/>
    </xf>
    <xf numFmtId="165" fontId="81" fillId="0" borderId="0" xfId="0" applyFont="1" applyAlignment="1">
      <alignment vertical="center"/>
    </xf>
    <xf numFmtId="165" fontId="144" fillId="0" borderId="0" xfId="0" applyFont="1" applyAlignment="1">
      <alignment horizontal="right" vertical="center"/>
    </xf>
    <xf numFmtId="165" fontId="142" fillId="0" borderId="0" xfId="0" applyFont="1" applyAlignment="1">
      <alignment vertical="center"/>
    </xf>
    <xf numFmtId="173" fontId="36" fillId="20" borderId="1" xfId="0" applyNumberFormat="1" applyFont="1" applyFill="1" applyBorder="1" applyAlignment="1">
      <alignment horizontal="right" vertical="center"/>
    </xf>
    <xf numFmtId="165" fontId="64" fillId="0" borderId="0" xfId="0" applyFont="1" applyAlignment="1">
      <alignment vertical="center"/>
    </xf>
    <xf numFmtId="165" fontId="60" fillId="0" borderId="0" xfId="0" applyFont="1" applyAlignment="1">
      <alignment horizontal="left" vertical="top"/>
    </xf>
    <xf numFmtId="165" fontId="55" fillId="0" borderId="0" xfId="0" quotePrefix="1" applyFont="1" applyAlignment="1">
      <alignment horizontal="left" vertical="top"/>
    </xf>
    <xf numFmtId="165" fontId="46" fillId="0" borderId="0" xfId="0" quotePrefix="1" applyFont="1" applyAlignment="1">
      <alignment horizontal="right" vertical="top"/>
    </xf>
    <xf numFmtId="165" fontId="48" fillId="0" borderId="0" xfId="0" quotePrefix="1" applyFont="1" applyAlignment="1">
      <alignment horizontal="left" vertical="top"/>
    </xf>
    <xf numFmtId="167" fontId="81" fillId="0" borderId="0" xfId="0" applyNumberFormat="1" applyFont="1" applyAlignment="1">
      <alignment horizontal="left" vertical="top"/>
    </xf>
    <xf numFmtId="14" fontId="16" fillId="0" borderId="0" xfId="0" applyNumberFormat="1" applyFont="1" applyAlignment="1">
      <alignment horizontal="left" vertical="center"/>
    </xf>
    <xf numFmtId="169" fontId="16" fillId="0" borderId="0" xfId="0" applyNumberFormat="1" applyFont="1" applyAlignment="1">
      <alignment horizontal="right" vertical="center"/>
    </xf>
    <xf numFmtId="165" fontId="44" fillId="0" borderId="0" xfId="0" applyFont="1" applyAlignment="1">
      <alignment horizontal="right" vertical="center"/>
    </xf>
    <xf numFmtId="165" fontId="100" fillId="0" borderId="4" xfId="0" applyFont="1" applyBorder="1" applyAlignment="1">
      <alignment textRotation="90"/>
    </xf>
    <xf numFmtId="14" fontId="12" fillId="0" borderId="4" xfId="0" applyNumberFormat="1" applyFont="1" applyBorder="1" applyAlignment="1">
      <alignment horizontal="center" vertical="center"/>
    </xf>
    <xf numFmtId="169" fontId="36" fillId="0" borderId="4" xfId="0" applyNumberFormat="1" applyFont="1" applyBorder="1" applyAlignment="1">
      <alignment horizontal="right" vertical="center"/>
    </xf>
    <xf numFmtId="172" fontId="46" fillId="0" borderId="4" xfId="0" applyNumberFormat="1" applyFont="1" applyBorder="1" applyAlignment="1">
      <alignment horizontal="center" vertical="center"/>
    </xf>
    <xf numFmtId="173" fontId="46" fillId="0" borderId="4" xfId="0" applyNumberFormat="1" applyFont="1" applyBorder="1" applyAlignment="1">
      <alignment horizontal="right" vertical="center"/>
    </xf>
    <xf numFmtId="170" fontId="16" fillId="0" borderId="4" xfId="0" quotePrefix="1" applyNumberFormat="1" applyFont="1" applyBorder="1" applyAlignment="1">
      <alignment vertical="center"/>
    </xf>
    <xf numFmtId="170" fontId="19" fillId="0" borderId="4" xfId="0" quotePrefix="1" applyNumberFormat="1" applyFont="1" applyBorder="1" applyAlignment="1">
      <alignment vertical="center"/>
    </xf>
    <xf numFmtId="170" fontId="41" fillId="0" borderId="4" xfId="0" quotePrefix="1" applyNumberFormat="1" applyFont="1" applyBorder="1" applyAlignment="1">
      <alignment vertical="center"/>
    </xf>
    <xf numFmtId="172" fontId="51" fillId="0" borderId="4" xfId="0" quotePrefix="1" applyNumberFormat="1" applyFont="1" applyBorder="1" applyAlignment="1">
      <alignment vertical="center"/>
    </xf>
    <xf numFmtId="172" fontId="41" fillId="0" borderId="4" xfId="0" applyNumberFormat="1" applyFont="1" applyBorder="1" applyAlignment="1">
      <alignment vertical="center"/>
    </xf>
    <xf numFmtId="170" fontId="16" fillId="0" borderId="4" xfId="0" applyNumberFormat="1" applyFont="1" applyBorder="1" applyAlignment="1">
      <alignment vertical="center"/>
    </xf>
    <xf numFmtId="170" fontId="36" fillId="0" borderId="4" xfId="0" applyNumberFormat="1" applyFont="1" applyBorder="1" applyAlignment="1">
      <alignment vertical="center"/>
    </xf>
    <xf numFmtId="172" fontId="57" fillId="0" borderId="4" xfId="0" applyNumberFormat="1" applyFont="1" applyBorder="1" applyAlignment="1">
      <alignment horizontal="right" vertical="center"/>
    </xf>
    <xf numFmtId="170" fontId="56" fillId="0" borderId="4" xfId="0" applyNumberFormat="1" applyFont="1" applyBorder="1" applyAlignment="1">
      <alignment horizontal="right" vertical="center"/>
    </xf>
    <xf numFmtId="165" fontId="40" fillId="0" borderId="4" xfId="0" applyFont="1" applyBorder="1" applyAlignment="1">
      <alignment horizontal="center" vertical="center"/>
    </xf>
    <xf numFmtId="165" fontId="100" fillId="0" borderId="0" xfId="0" applyFont="1" applyAlignment="1">
      <alignment textRotation="90"/>
    </xf>
    <xf numFmtId="14" fontId="12" fillId="0" borderId="0" xfId="0" applyNumberFormat="1" applyFont="1" applyAlignment="1">
      <alignment horizontal="center" vertical="center"/>
    </xf>
    <xf numFmtId="169" fontId="36" fillId="0" borderId="0" xfId="0" applyNumberFormat="1" applyFont="1" applyAlignment="1">
      <alignment horizontal="right" vertical="center"/>
    </xf>
    <xf numFmtId="172" fontId="46" fillId="0" borderId="0" xfId="0" applyNumberFormat="1" applyFont="1" applyAlignment="1">
      <alignment horizontal="center" vertical="center"/>
    </xf>
    <xf numFmtId="173" fontId="46" fillId="0" borderId="0" xfId="0" applyNumberFormat="1" applyFont="1" applyAlignment="1">
      <alignment horizontal="right" vertical="center"/>
    </xf>
    <xf numFmtId="170" fontId="56" fillId="0" borderId="0" xfId="0" applyNumberFormat="1" applyFont="1" applyAlignment="1">
      <alignment horizontal="right" vertical="center"/>
    </xf>
    <xf numFmtId="165" fontId="140" fillId="0" borderId="0" xfId="0" applyFont="1" applyAlignment="1">
      <alignment vertical="center"/>
    </xf>
    <xf numFmtId="169" fontId="16" fillId="13" borderId="1" xfId="0" applyNumberFormat="1" applyFont="1" applyFill="1" applyBorder="1" applyAlignment="1">
      <alignment vertical="center"/>
    </xf>
    <xf numFmtId="165" fontId="81" fillId="0" borderId="0" xfId="0" applyFont="1" applyAlignment="1">
      <alignment horizontal="center" textRotation="90"/>
    </xf>
    <xf numFmtId="164" fontId="110" fillId="4" borderId="3" xfId="0" applyNumberFormat="1" applyFont="1" applyFill="1" applyBorder="1" applyAlignment="1">
      <alignment horizontal="left" vertical="center"/>
    </xf>
    <xf numFmtId="169" fontId="110" fillId="4" borderId="3" xfId="0" applyNumberFormat="1" applyFont="1" applyFill="1" applyBorder="1" applyAlignment="1">
      <alignment horizontal="center" vertical="center"/>
    </xf>
    <xf numFmtId="168" fontId="110" fillId="4" borderId="3" xfId="0" applyNumberFormat="1" applyFont="1" applyFill="1" applyBorder="1" applyAlignment="1">
      <alignment horizontal="center" vertical="center"/>
    </xf>
    <xf numFmtId="167" fontId="110" fillId="4" borderId="3" xfId="0" applyNumberFormat="1" applyFont="1" applyFill="1" applyBorder="1" applyAlignment="1">
      <alignment horizontal="center" vertical="center"/>
    </xf>
    <xf numFmtId="1" fontId="113" fillId="0" borderId="0" xfId="0" applyNumberFormat="1" applyFont="1" applyAlignment="1">
      <alignment horizontal="center" vertical="center"/>
    </xf>
    <xf numFmtId="172" fontId="110" fillId="4" borderId="3" xfId="0" applyNumberFormat="1" applyFont="1" applyFill="1" applyBorder="1" applyAlignment="1">
      <alignment horizontal="center" vertical="center"/>
    </xf>
    <xf numFmtId="167" fontId="110" fillId="4" borderId="11" xfId="0" applyNumberFormat="1" applyFont="1" applyFill="1" applyBorder="1" applyAlignment="1">
      <alignment horizontal="center" vertical="center"/>
    </xf>
    <xf numFmtId="167" fontId="110" fillId="4" borderId="21" xfId="0" applyNumberFormat="1" applyFont="1" applyFill="1" applyBorder="1" applyAlignment="1">
      <alignment horizontal="center" vertical="center"/>
    </xf>
    <xf numFmtId="167" fontId="110" fillId="4" borderId="13" xfId="0" applyNumberFormat="1" applyFont="1" applyFill="1" applyBorder="1" applyAlignment="1">
      <alignment horizontal="center" vertical="center"/>
    </xf>
    <xf numFmtId="172" fontId="114" fillId="0" borderId="0" xfId="0" applyNumberFormat="1" applyFont="1" applyAlignment="1">
      <alignment horizontal="right"/>
    </xf>
    <xf numFmtId="165" fontId="66" fillId="21" borderId="1" xfId="0" applyFont="1" applyFill="1" applyBorder="1" applyAlignment="1">
      <alignment horizontal="center" vertical="center"/>
    </xf>
    <xf numFmtId="164" fontId="116" fillId="4" borderId="5" xfId="0" applyNumberFormat="1" applyFont="1" applyFill="1" applyBorder="1" applyAlignment="1">
      <alignment horizontal="center" vertical="center"/>
    </xf>
    <xf numFmtId="169" fontId="116" fillId="4" borderId="5" xfId="0" applyNumberFormat="1" applyFont="1" applyFill="1" applyBorder="1" applyAlignment="1">
      <alignment horizontal="center" vertical="center"/>
    </xf>
    <xf numFmtId="168" fontId="116" fillId="4" borderId="5" xfId="0" applyNumberFormat="1" applyFont="1" applyFill="1" applyBorder="1" applyAlignment="1">
      <alignment horizontal="center" vertical="center"/>
    </xf>
    <xf numFmtId="164" fontId="116" fillId="4" borderId="5" xfId="0" applyNumberFormat="1" applyFont="1" applyFill="1" applyBorder="1" applyAlignment="1">
      <alignment horizontal="right" vertical="center"/>
    </xf>
    <xf numFmtId="167" fontId="116" fillId="4" borderId="5" xfId="0" applyNumberFormat="1" applyFont="1" applyFill="1" applyBorder="1" applyAlignment="1">
      <alignment horizontal="center" vertical="center"/>
    </xf>
    <xf numFmtId="167" fontId="117" fillId="4" borderId="5" xfId="0" applyNumberFormat="1" applyFont="1" applyFill="1" applyBorder="1" applyAlignment="1">
      <alignment horizontal="center" vertical="center"/>
    </xf>
    <xf numFmtId="172" fontId="118" fillId="4" borderId="5" xfId="0" applyNumberFormat="1" applyFont="1" applyFill="1" applyBorder="1" applyAlignment="1">
      <alignment horizontal="center"/>
    </xf>
    <xf numFmtId="172" fontId="116" fillId="4" borderId="5" xfId="0" applyNumberFormat="1" applyFont="1" applyFill="1" applyBorder="1" applyAlignment="1">
      <alignment horizontal="center" vertical="center"/>
    </xf>
    <xf numFmtId="170" fontId="119" fillId="4" borderId="5" xfId="0" applyNumberFormat="1" applyFont="1" applyFill="1" applyBorder="1" applyAlignment="1">
      <alignment horizontal="center" vertical="center"/>
    </xf>
    <xf numFmtId="170" fontId="119" fillId="4" borderId="12" xfId="0" applyNumberFormat="1" applyFont="1" applyFill="1" applyBorder="1" applyAlignment="1">
      <alignment horizontal="center" vertical="center"/>
    </xf>
    <xf numFmtId="170" fontId="119" fillId="4" borderId="22" xfId="0" applyNumberFormat="1" applyFont="1" applyFill="1" applyBorder="1" applyAlignment="1">
      <alignment horizontal="center" vertical="center"/>
    </xf>
    <xf numFmtId="170" fontId="119" fillId="4" borderId="14" xfId="0" applyNumberFormat="1" applyFont="1" applyFill="1" applyBorder="1" applyAlignment="1">
      <alignment horizontal="center"/>
    </xf>
    <xf numFmtId="172" fontId="120" fillId="0" borderId="0" xfId="0" applyNumberFormat="1" applyFont="1" applyAlignment="1">
      <alignment horizontal="right" vertical="top"/>
    </xf>
    <xf numFmtId="170" fontId="119" fillId="4" borderId="5" xfId="0" applyNumberFormat="1" applyFont="1" applyFill="1" applyBorder="1" applyAlignment="1">
      <alignment horizontal="right" vertical="center"/>
    </xf>
    <xf numFmtId="14" fontId="16" fillId="20" borderId="1" xfId="0" applyNumberFormat="1" applyFont="1" applyFill="1" applyBorder="1" applyAlignment="1">
      <alignment vertical="center"/>
    </xf>
    <xf numFmtId="169" fontId="36" fillId="20" borderId="1" xfId="0" applyNumberFormat="1" applyFont="1" applyFill="1" applyBorder="1" applyAlignment="1">
      <alignment horizontal="right" vertical="center"/>
    </xf>
    <xf numFmtId="14" fontId="16" fillId="20" borderId="1" xfId="2" applyNumberFormat="1" applyFont="1" applyFill="1" applyBorder="1" applyAlignment="1" applyProtection="1">
      <alignment horizontal="center" vertical="center"/>
    </xf>
    <xf numFmtId="170" fontId="16" fillId="20" borderId="1" xfId="0" applyNumberFormat="1" applyFont="1" applyFill="1" applyBorder="1" applyAlignment="1">
      <alignment horizontal="right" vertical="center"/>
    </xf>
    <xf numFmtId="172" fontId="62" fillId="0" borderId="1" xfId="0" quotePrefix="1" applyNumberFormat="1" applyFont="1" applyBorder="1" applyAlignment="1">
      <alignment vertical="center"/>
    </xf>
    <xf numFmtId="170" fontId="19" fillId="0" borderId="1" xfId="0" quotePrefix="1" applyNumberFormat="1" applyFont="1" applyBorder="1" applyAlignment="1">
      <alignment vertical="center"/>
    </xf>
    <xf numFmtId="170" fontId="41" fillId="20" borderId="1" xfId="0" quotePrefix="1" applyNumberFormat="1" applyFont="1" applyFill="1" applyBorder="1" applyAlignment="1">
      <alignment vertical="center"/>
    </xf>
    <xf numFmtId="172" fontId="62" fillId="20" borderId="1" xfId="0" quotePrefix="1" applyNumberFormat="1" applyFont="1" applyFill="1" applyBorder="1" applyAlignment="1">
      <alignment vertical="center"/>
    </xf>
    <xf numFmtId="172" fontId="41" fillId="20" borderId="1" xfId="0" applyNumberFormat="1" applyFont="1" applyFill="1" applyBorder="1" applyAlignment="1">
      <alignment vertical="center"/>
    </xf>
    <xf numFmtId="170" fontId="95" fillId="9" borderId="1" xfId="0" applyNumberFormat="1" applyFont="1" applyFill="1" applyBorder="1" applyAlignment="1">
      <alignment vertical="center"/>
    </xf>
    <xf numFmtId="170" fontId="96" fillId="2" borderId="7" xfId="0" applyNumberFormat="1" applyFont="1" applyFill="1" applyBorder="1" applyAlignment="1">
      <alignment vertical="center"/>
    </xf>
    <xf numFmtId="170" fontId="96" fillId="2" borderId="20" xfId="0" applyNumberFormat="1" applyFont="1" applyFill="1" applyBorder="1" applyAlignment="1">
      <alignment vertical="center"/>
    </xf>
    <xf numFmtId="171" fontId="36" fillId="0" borderId="10" xfId="1" applyNumberFormat="1" applyFont="1" applyFill="1" applyBorder="1" applyAlignment="1" applyProtection="1">
      <alignment vertical="center"/>
    </xf>
    <xf numFmtId="170" fontId="36" fillId="0" borderId="5" xfId="0" applyNumberFormat="1" applyFont="1" applyBorder="1" applyAlignment="1">
      <alignment vertical="center"/>
    </xf>
    <xf numFmtId="170" fontId="36" fillId="4" borderId="5" xfId="0" applyNumberFormat="1" applyFont="1" applyFill="1" applyBorder="1" applyAlignment="1">
      <alignment vertical="center"/>
    </xf>
    <xf numFmtId="14" fontId="16" fillId="20" borderId="1" xfId="0" quotePrefix="1" applyNumberFormat="1" applyFont="1" applyFill="1" applyBorder="1" applyAlignment="1">
      <alignment vertical="center"/>
    </xf>
    <xf numFmtId="172" fontId="41" fillId="20" borderId="1" xfId="0" applyNumberFormat="1" applyFont="1" applyFill="1" applyBorder="1" applyAlignment="1">
      <alignment horizontal="left" vertical="center"/>
    </xf>
    <xf numFmtId="172" fontId="110" fillId="0" borderId="1" xfId="0" quotePrefix="1" applyNumberFormat="1" applyFont="1" applyBorder="1" applyAlignment="1">
      <alignment vertical="center"/>
    </xf>
    <xf numFmtId="172" fontId="41" fillId="20" borderId="1" xfId="0" quotePrefix="1" applyNumberFormat="1" applyFont="1" applyFill="1" applyBorder="1" applyAlignment="1">
      <alignment horizontal="center" vertical="center"/>
    </xf>
    <xf numFmtId="170" fontId="110" fillId="0" borderId="1" xfId="0" quotePrefix="1" applyNumberFormat="1" applyFont="1" applyBorder="1" applyAlignment="1">
      <alignment vertical="center"/>
    </xf>
    <xf numFmtId="170" fontId="36" fillId="0" borderId="1" xfId="0" applyNumberFormat="1" applyFont="1" applyBorder="1" applyAlignment="1">
      <alignment vertical="center"/>
    </xf>
    <xf numFmtId="170" fontId="36" fillId="4" borderId="1" xfId="0" applyNumberFormat="1" applyFont="1" applyFill="1" applyBorder="1" applyAlignment="1">
      <alignment vertical="center"/>
    </xf>
    <xf numFmtId="172" fontId="81" fillId="0" borderId="0" xfId="0" quotePrefix="1" applyNumberFormat="1" applyFont="1" applyAlignment="1">
      <alignment horizontal="center" vertical="top"/>
    </xf>
    <xf numFmtId="170" fontId="81" fillId="0" borderId="0" xfId="0" applyNumberFormat="1" applyFont="1" applyAlignment="1">
      <alignment horizontal="left" vertical="top"/>
    </xf>
    <xf numFmtId="172" fontId="62" fillId="0" borderId="0" xfId="0" quotePrefix="1" applyNumberFormat="1" applyFont="1" applyAlignment="1">
      <alignment vertical="top"/>
    </xf>
    <xf numFmtId="170" fontId="19" fillId="0" borderId="0" xfId="0" quotePrefix="1" applyNumberFormat="1" applyFont="1" applyAlignment="1">
      <alignment vertical="top"/>
    </xf>
    <xf numFmtId="1" fontId="40" fillId="0" borderId="0" xfId="0" applyNumberFormat="1" applyFont="1" applyAlignment="1">
      <alignment horizontal="center" vertical="top"/>
    </xf>
    <xf numFmtId="170" fontId="95" fillId="0" borderId="0" xfId="0" applyNumberFormat="1" applyFont="1" applyAlignment="1">
      <alignment vertical="top"/>
    </xf>
    <xf numFmtId="170" fontId="96" fillId="0" borderId="0" xfId="0" applyNumberFormat="1" applyFont="1" applyAlignment="1">
      <alignment vertical="top"/>
    </xf>
    <xf numFmtId="171" fontId="36" fillId="0" borderId="0" xfId="1" applyNumberFormat="1" applyFont="1" applyFill="1" applyBorder="1" applyAlignment="1" applyProtection="1">
      <alignment vertical="top"/>
    </xf>
    <xf numFmtId="175" fontId="40" fillId="0" borderId="0" xfId="0" applyNumberFormat="1" applyFont="1" applyAlignment="1">
      <alignment horizontal="right" vertical="top"/>
    </xf>
    <xf numFmtId="170" fontId="36" fillId="0" borderId="0" xfId="0" applyNumberFormat="1" applyFont="1" applyAlignment="1">
      <alignment vertical="top"/>
    </xf>
    <xf numFmtId="172" fontId="41" fillId="0" borderId="0" xfId="0" applyNumberFormat="1" applyFont="1" applyAlignment="1">
      <alignment vertical="top"/>
    </xf>
    <xf numFmtId="14" fontId="16" fillId="0" borderId="0" xfId="0" applyNumberFormat="1" applyFont="1" applyAlignment="1">
      <alignment vertical="center"/>
    </xf>
    <xf numFmtId="14" fontId="16" fillId="0" borderId="0" xfId="2" applyNumberFormat="1" applyFont="1" applyFill="1" applyBorder="1" applyAlignment="1" applyProtection="1">
      <alignment horizontal="center" vertical="center"/>
    </xf>
    <xf numFmtId="170" fontId="16" fillId="0" borderId="0" xfId="0" applyNumberFormat="1" applyFont="1" applyAlignment="1">
      <alignment horizontal="right" vertical="center"/>
    </xf>
    <xf numFmtId="172" fontId="62" fillId="0" borderId="0" xfId="0" quotePrefix="1" applyNumberFormat="1" applyFont="1" applyAlignment="1">
      <alignment vertical="center"/>
    </xf>
    <xf numFmtId="170" fontId="95" fillId="0" borderId="0" xfId="0" applyNumberFormat="1" applyFont="1" applyAlignment="1">
      <alignment vertical="center"/>
    </xf>
    <xf numFmtId="170" fontId="96" fillId="0" borderId="0" xfId="0" applyNumberFormat="1" applyFont="1" applyAlignment="1">
      <alignment vertical="center"/>
    </xf>
    <xf numFmtId="171" fontId="36" fillId="0" borderId="0" xfId="1" applyNumberFormat="1" applyFont="1" applyFill="1" applyBorder="1" applyAlignment="1" applyProtection="1">
      <alignment vertical="center"/>
    </xf>
    <xf numFmtId="165" fontId="125" fillId="0" borderId="0" xfId="0" applyFont="1" applyAlignment="1">
      <alignment horizontal="left" vertical="center"/>
    </xf>
    <xf numFmtId="165" fontId="54" fillId="0" borderId="0" xfId="0" applyFont="1" applyAlignment="1">
      <alignment vertical="center"/>
    </xf>
    <xf numFmtId="165" fontId="133" fillId="0" borderId="0" xfId="0" applyFont="1" applyAlignment="1">
      <alignment horizontal="left" vertical="center"/>
    </xf>
    <xf numFmtId="170" fontId="95" fillId="0" borderId="0" xfId="0" applyNumberFormat="1" applyFont="1" applyAlignment="1">
      <alignment horizontal="left" vertical="center"/>
    </xf>
    <xf numFmtId="170" fontId="96" fillId="0" borderId="0" xfId="0" applyNumberFormat="1" applyFont="1" applyAlignment="1">
      <alignment horizontal="left" vertical="center"/>
    </xf>
    <xf numFmtId="171" fontId="36" fillId="0" borderId="0" xfId="1" applyNumberFormat="1" applyFont="1" applyFill="1" applyBorder="1" applyAlignment="1" applyProtection="1">
      <alignment horizontal="left" vertical="center"/>
    </xf>
    <xf numFmtId="175" fontId="40" fillId="0" borderId="0" xfId="0" applyNumberFormat="1" applyFont="1" applyAlignment="1">
      <alignment horizontal="left" vertical="center"/>
    </xf>
    <xf numFmtId="170" fontId="36" fillId="0" borderId="0" xfId="0" applyNumberFormat="1" applyFont="1" applyAlignment="1">
      <alignment horizontal="left" vertical="center"/>
    </xf>
    <xf numFmtId="165" fontId="136" fillId="0" borderId="0" xfId="0" applyFont="1" applyAlignment="1">
      <alignment horizontal="center" vertical="center"/>
    </xf>
    <xf numFmtId="165" fontId="45" fillId="0" borderId="0" xfId="0" applyFont="1" applyAlignment="1">
      <alignment horizontal="left" vertical="center"/>
    </xf>
    <xf numFmtId="165" fontId="39" fillId="0" borderId="0" xfId="0" applyFont="1" applyAlignment="1">
      <alignment horizontal="right" vertical="center"/>
    </xf>
    <xf numFmtId="165" fontId="127" fillId="0" borderId="0" xfId="0" applyFont="1" applyAlignment="1">
      <alignment vertical="center"/>
    </xf>
    <xf numFmtId="165" fontId="129" fillId="0" borderId="0" xfId="0" applyFont="1" applyAlignment="1">
      <alignment vertical="center"/>
    </xf>
    <xf numFmtId="166" fontId="128" fillId="0" borderId="0" xfId="0" applyNumberFormat="1" applyFont="1" applyAlignment="1">
      <alignment vertical="center"/>
    </xf>
    <xf numFmtId="165" fontId="128" fillId="0" borderId="0" xfId="0" applyFont="1" applyAlignment="1">
      <alignment vertical="center"/>
    </xf>
    <xf numFmtId="165" fontId="16" fillId="0" borderId="0" xfId="0" applyFont="1" applyAlignment="1">
      <alignment horizontal="left" vertical="center"/>
    </xf>
    <xf numFmtId="175" fontId="135" fillId="0" borderId="0" xfId="0" applyNumberFormat="1" applyFont="1" applyAlignment="1">
      <alignment horizontal="right" vertical="center"/>
    </xf>
    <xf numFmtId="165" fontId="135" fillId="0" borderId="0" xfId="0" applyFont="1" applyAlignment="1">
      <alignment horizontal="center" vertical="center"/>
    </xf>
    <xf numFmtId="171" fontId="36" fillId="4" borderId="10" xfId="1" applyNumberFormat="1" applyFont="1" applyFill="1" applyBorder="1" applyAlignment="1" applyProtection="1">
      <alignment vertical="center"/>
    </xf>
    <xf numFmtId="170" fontId="36" fillId="11" borderId="1" xfId="0" applyNumberFormat="1" applyFont="1" applyFill="1" applyBorder="1" applyAlignment="1">
      <alignment vertical="center"/>
    </xf>
    <xf numFmtId="170" fontId="36" fillId="2" borderId="1" xfId="0" applyNumberFormat="1" applyFont="1" applyFill="1" applyBorder="1" applyAlignment="1">
      <alignment vertical="center"/>
    </xf>
    <xf numFmtId="165" fontId="38" fillId="15" borderId="0" xfId="0" applyFont="1" applyFill="1" applyAlignment="1">
      <alignment horizontal="center" vertical="center"/>
    </xf>
    <xf numFmtId="169" fontId="36" fillId="20" borderId="11" xfId="0" applyNumberFormat="1" applyFont="1" applyFill="1" applyBorder="1" applyAlignment="1">
      <alignment horizontal="right" vertical="center"/>
    </xf>
    <xf numFmtId="14" fontId="16" fillId="20" borderId="2" xfId="2" applyNumberFormat="1" applyFont="1" applyFill="1" applyBorder="1" applyAlignment="1" applyProtection="1">
      <alignment horizontal="center" vertical="center"/>
    </xf>
    <xf numFmtId="170" fontId="16" fillId="20" borderId="2" xfId="0" applyNumberFormat="1" applyFont="1" applyFill="1" applyBorder="1" applyAlignment="1">
      <alignment horizontal="right" vertical="center"/>
    </xf>
    <xf numFmtId="172" fontId="62" fillId="8" borderId="2" xfId="0" quotePrefix="1" applyNumberFormat="1" applyFont="1" applyFill="1" applyBorder="1" applyAlignment="1">
      <alignment vertical="center"/>
    </xf>
    <xf numFmtId="170" fontId="19" fillId="7" borderId="2" xfId="0" quotePrefix="1" applyNumberFormat="1" applyFont="1" applyFill="1" applyBorder="1" applyAlignment="1">
      <alignment vertical="center"/>
    </xf>
    <xf numFmtId="170" fontId="41" fillId="20" borderId="2" xfId="0" quotePrefix="1" applyNumberFormat="1" applyFont="1" applyFill="1" applyBorder="1" applyAlignment="1">
      <alignment vertical="center"/>
    </xf>
    <xf numFmtId="172" fontId="62" fillId="20" borderId="2" xfId="0" quotePrefix="1" applyNumberFormat="1" applyFont="1" applyFill="1" applyBorder="1" applyAlignment="1">
      <alignment vertical="center"/>
    </xf>
    <xf numFmtId="172" fontId="41" fillId="20" borderId="2" xfId="0" applyNumberFormat="1" applyFont="1" applyFill="1" applyBorder="1" applyAlignment="1">
      <alignment vertical="center"/>
    </xf>
    <xf numFmtId="170" fontId="95" fillId="9" borderId="2" xfId="0" applyNumberFormat="1" applyFont="1" applyFill="1" applyBorder="1" applyAlignment="1">
      <alignment vertical="center"/>
    </xf>
    <xf numFmtId="170" fontId="96" fillId="2" borderId="0" xfId="0" applyNumberFormat="1" applyFont="1" applyFill="1" applyAlignment="1">
      <alignment vertical="center"/>
    </xf>
    <xf numFmtId="171" fontId="36" fillId="4" borderId="0" xfId="1" applyNumberFormat="1" applyFont="1" applyFill="1" applyBorder="1" applyAlignment="1" applyProtection="1">
      <alignment vertical="center"/>
    </xf>
    <xf numFmtId="170" fontId="70" fillId="11" borderId="0" xfId="0" applyNumberFormat="1" applyFont="1" applyFill="1" applyAlignment="1">
      <alignment vertical="center"/>
    </xf>
    <xf numFmtId="170" fontId="70" fillId="2" borderId="0" xfId="0" applyNumberFormat="1" applyFont="1" applyFill="1" applyAlignment="1">
      <alignment vertical="center"/>
    </xf>
    <xf numFmtId="165" fontId="40" fillId="15" borderId="0" xfId="0" applyFont="1" applyFill="1" applyAlignment="1">
      <alignment horizontal="center" vertical="center"/>
    </xf>
    <xf numFmtId="170" fontId="36" fillId="11" borderId="0" xfId="0" applyNumberFormat="1" applyFont="1" applyFill="1" applyAlignment="1">
      <alignment vertical="center"/>
    </xf>
    <xf numFmtId="165" fontId="38" fillId="19" borderId="0" xfId="0" applyFont="1" applyFill="1" applyAlignment="1">
      <alignment horizontal="center" vertical="center"/>
    </xf>
    <xf numFmtId="14" fontId="124" fillId="15" borderId="0" xfId="0" applyNumberFormat="1" applyFont="1" applyFill="1" applyAlignment="1">
      <alignment vertical="center"/>
    </xf>
    <xf numFmtId="14" fontId="121" fillId="15" borderId="0" xfId="0" applyNumberFormat="1" applyFont="1" applyFill="1" applyAlignment="1">
      <alignment vertical="center"/>
    </xf>
    <xf numFmtId="14" fontId="121" fillId="15" borderId="1" xfId="0" applyNumberFormat="1" applyFont="1" applyFill="1" applyBorder="1" applyAlignment="1">
      <alignment horizontal="center" vertical="center"/>
    </xf>
    <xf numFmtId="1" fontId="131" fillId="15" borderId="0" xfId="0" applyNumberFormat="1" applyFont="1" applyFill="1" applyAlignment="1">
      <alignment horizontal="center" vertical="center"/>
    </xf>
    <xf numFmtId="165" fontId="132" fillId="15" borderId="2" xfId="0" applyFont="1" applyFill="1" applyBorder="1" applyAlignment="1">
      <alignment vertical="center"/>
    </xf>
    <xf numFmtId="165" fontId="132" fillId="15" borderId="0" xfId="0" applyFont="1" applyFill="1" applyAlignment="1">
      <alignment horizontal="center" vertical="center"/>
    </xf>
    <xf numFmtId="172" fontId="104" fillId="15" borderId="0" xfId="0" applyNumberFormat="1" applyFont="1" applyFill="1" applyAlignment="1">
      <alignment horizontal="center" vertical="center"/>
    </xf>
    <xf numFmtId="165" fontId="132" fillId="15" borderId="0" xfId="0" applyFont="1" applyFill="1" applyAlignment="1">
      <alignment vertical="center"/>
    </xf>
    <xf numFmtId="165" fontId="131" fillId="15" borderId="0" xfId="0" applyFont="1" applyFill="1" applyAlignment="1">
      <alignment horizontal="center" vertical="center"/>
    </xf>
    <xf numFmtId="170" fontId="47" fillId="0" borderId="0" xfId="0" applyNumberFormat="1" applyFont="1" applyAlignment="1">
      <alignment vertical="center"/>
    </xf>
    <xf numFmtId="165" fontId="38" fillId="3" borderId="18" xfId="0" applyFont="1" applyFill="1" applyBorder="1" applyAlignment="1">
      <alignment horizontal="center" vertical="center"/>
    </xf>
    <xf numFmtId="165" fontId="38" fillId="3" borderId="24" xfId="0" applyFont="1" applyFill="1" applyBorder="1" applyAlignment="1">
      <alignment horizontal="center" vertical="center"/>
    </xf>
    <xf numFmtId="14" fontId="16" fillId="3" borderId="15" xfId="0" applyNumberFormat="1" applyFont="1" applyFill="1" applyBorder="1" applyAlignment="1">
      <alignment vertical="center"/>
    </xf>
    <xf numFmtId="169" fontId="36" fillId="3" borderId="15" xfId="0" applyNumberFormat="1" applyFont="1" applyFill="1" applyBorder="1" applyAlignment="1">
      <alignment horizontal="right" vertical="center"/>
    </xf>
    <xf numFmtId="14" fontId="16" fillId="3" borderId="15" xfId="2" applyNumberFormat="1" applyFont="1" applyFill="1" applyBorder="1" applyAlignment="1" applyProtection="1">
      <alignment horizontal="center" vertical="center"/>
    </xf>
    <xf numFmtId="170" fontId="16" fillId="3" borderId="15" xfId="0" applyNumberFormat="1" applyFont="1" applyFill="1" applyBorder="1" applyAlignment="1">
      <alignment horizontal="right" vertical="center"/>
    </xf>
    <xf numFmtId="172" fontId="62" fillId="3" borderId="15" xfId="0" quotePrefix="1" applyNumberFormat="1" applyFont="1" applyFill="1" applyBorder="1" applyAlignment="1">
      <alignment vertical="center"/>
    </xf>
    <xf numFmtId="170" fontId="19" fillId="3" borderId="15" xfId="0" quotePrefix="1" applyNumberFormat="1" applyFont="1" applyFill="1" applyBorder="1" applyAlignment="1">
      <alignment vertical="center"/>
    </xf>
    <xf numFmtId="170" fontId="41" fillId="3" borderId="15" xfId="0" quotePrefix="1" applyNumberFormat="1" applyFont="1" applyFill="1" applyBorder="1" applyAlignment="1">
      <alignment vertical="center"/>
    </xf>
    <xf numFmtId="1" fontId="40" fillId="3" borderId="24" xfId="0" applyNumberFormat="1" applyFont="1" applyFill="1" applyBorder="1" applyAlignment="1">
      <alignment horizontal="center" vertical="center"/>
    </xf>
    <xf numFmtId="172" fontId="41" fillId="3" borderId="15" xfId="0" applyNumberFormat="1" applyFont="1" applyFill="1" applyBorder="1" applyAlignment="1">
      <alignment vertical="center"/>
    </xf>
    <xf numFmtId="170" fontId="95" fillId="3" borderId="15" xfId="0" applyNumberFormat="1" applyFont="1" applyFill="1" applyBorder="1" applyAlignment="1">
      <alignment vertical="center"/>
    </xf>
    <xf numFmtId="170" fontId="96" fillId="3" borderId="16" xfId="0" applyNumberFormat="1" applyFont="1" applyFill="1" applyBorder="1" applyAlignment="1">
      <alignment vertical="center"/>
    </xf>
    <xf numFmtId="170" fontId="96" fillId="3" borderId="25" xfId="0" applyNumberFormat="1" applyFont="1" applyFill="1" applyBorder="1" applyAlignment="1">
      <alignment vertical="center"/>
    </xf>
    <xf numFmtId="171" fontId="36" fillId="3" borderId="26" xfId="1" applyNumberFormat="1" applyFont="1" applyFill="1" applyBorder="1" applyAlignment="1" applyProtection="1">
      <alignment vertical="center"/>
    </xf>
    <xf numFmtId="175" fontId="40" fillId="3" borderId="24" xfId="0" applyNumberFormat="1" applyFont="1" applyFill="1" applyBorder="1" applyAlignment="1">
      <alignment horizontal="right" vertical="center"/>
    </xf>
    <xf numFmtId="170" fontId="36" fillId="3" borderId="15" xfId="0" applyNumberFormat="1" applyFont="1" applyFill="1" applyBorder="1" applyAlignment="1">
      <alignment vertical="center"/>
    </xf>
    <xf numFmtId="165" fontId="40" fillId="3" borderId="19" xfId="0" applyFont="1" applyFill="1" applyBorder="1" applyAlignment="1">
      <alignment horizontal="center" vertical="center"/>
    </xf>
    <xf numFmtId="14" fontId="16" fillId="20" borderId="5" xfId="0" applyNumberFormat="1" applyFont="1" applyFill="1" applyBorder="1" applyAlignment="1">
      <alignment vertical="center"/>
    </xf>
    <xf numFmtId="169" fontId="36" fillId="20" borderId="9" xfId="0" applyNumberFormat="1" applyFont="1" applyFill="1" applyBorder="1" applyAlignment="1">
      <alignment horizontal="right" vertical="center"/>
    </xf>
    <xf numFmtId="14" fontId="16" fillId="20" borderId="0" xfId="2" applyNumberFormat="1" applyFont="1" applyFill="1" applyBorder="1" applyAlignment="1" applyProtection="1">
      <alignment horizontal="center" vertical="center"/>
    </xf>
    <xf numFmtId="170" fontId="16" fillId="20" borderId="0" xfId="0" applyNumberFormat="1" applyFont="1" applyFill="1" applyAlignment="1">
      <alignment horizontal="right" vertical="center"/>
    </xf>
    <xf numFmtId="172" fontId="62" fillId="8" borderId="0" xfId="0" quotePrefix="1" applyNumberFormat="1" applyFont="1" applyFill="1" applyAlignment="1">
      <alignment vertical="center"/>
    </xf>
    <xf numFmtId="170" fontId="19" fillId="7" borderId="0" xfId="0" quotePrefix="1" applyNumberFormat="1" applyFont="1" applyFill="1" applyAlignment="1">
      <alignment vertical="center"/>
    </xf>
    <xf numFmtId="170" fontId="41" fillId="20" borderId="0" xfId="0" quotePrefix="1" applyNumberFormat="1" applyFont="1" applyFill="1" applyAlignment="1">
      <alignment vertical="center"/>
    </xf>
    <xf numFmtId="172" fontId="62" fillId="20" borderId="0" xfId="0" quotePrefix="1" applyNumberFormat="1" applyFont="1" applyFill="1" applyAlignment="1">
      <alignment vertical="center"/>
    </xf>
    <xf numFmtId="172" fontId="41" fillId="20" borderId="0" xfId="0" applyNumberFormat="1" applyFont="1" applyFill="1" applyAlignment="1">
      <alignment vertical="center"/>
    </xf>
    <xf numFmtId="170" fontId="95" fillId="9" borderId="0" xfId="0" applyNumberFormat="1" applyFont="1" applyFill="1" applyAlignment="1">
      <alignment vertical="center"/>
    </xf>
    <xf numFmtId="175" fontId="39" fillId="0" borderId="0" xfId="0" applyNumberFormat="1" applyFont="1" applyAlignment="1">
      <alignment horizontal="right" vertical="center"/>
    </xf>
    <xf numFmtId="165" fontId="38" fillId="0" borderId="4" xfId="0" applyFont="1" applyBorder="1" applyAlignment="1">
      <alignment horizontal="center" vertical="center"/>
    </xf>
    <xf numFmtId="174" fontId="40" fillId="0" borderId="4" xfId="0" applyNumberFormat="1" applyFont="1" applyBorder="1" applyAlignment="1">
      <alignment horizontal="right" vertical="center"/>
    </xf>
    <xf numFmtId="174" fontId="40" fillId="0" borderId="0" xfId="0" applyNumberFormat="1" applyFont="1" applyAlignment="1">
      <alignment horizontal="right" vertical="center"/>
    </xf>
    <xf numFmtId="165" fontId="105" fillId="20" borderId="1" xfId="0" applyFont="1" applyFill="1" applyBorder="1" applyAlignment="1">
      <alignment horizontal="center"/>
    </xf>
    <xf numFmtId="170" fontId="23" fillId="0" borderId="0" xfId="2" applyNumberFormat="1" applyFont="1" applyFill="1" applyBorder="1" applyAlignment="1" applyProtection="1">
      <alignment horizontal="right" vertical="center"/>
    </xf>
    <xf numFmtId="174" fontId="37" fillId="0" borderId="0" xfId="0" applyNumberFormat="1" applyFont="1" applyAlignment="1">
      <alignment horizontal="right" vertical="center" wrapText="1"/>
    </xf>
    <xf numFmtId="9" fontId="68" fillId="0" borderId="0" xfId="1" applyFont="1" applyAlignment="1" applyProtection="1">
      <alignment horizontal="right" vertical="center"/>
    </xf>
    <xf numFmtId="9" fontId="79" fillId="0" borderId="0" xfId="1" applyFont="1" applyBorder="1" applyAlignment="1" applyProtection="1">
      <alignment horizontal="right" vertical="center"/>
    </xf>
    <xf numFmtId="172" fontId="50" fillId="0" borderId="0" xfId="0" applyNumberFormat="1" applyFont="1" applyAlignment="1">
      <alignment horizontal="right" vertical="center"/>
    </xf>
    <xf numFmtId="165" fontId="110" fillId="0" borderId="0" xfId="0" applyFont="1" applyAlignment="1">
      <alignment horizontal="right" vertical="center"/>
    </xf>
    <xf numFmtId="14" fontId="119" fillId="0" borderId="0" xfId="0" applyNumberFormat="1" applyFont="1" applyAlignment="1">
      <alignment horizontal="center" vertical="center"/>
    </xf>
    <xf numFmtId="165" fontId="78" fillId="0" borderId="0" xfId="0" applyFont="1" applyAlignment="1">
      <alignment horizontal="center" vertical="center"/>
    </xf>
    <xf numFmtId="172" fontId="110" fillId="0" borderId="0" xfId="0" applyNumberFormat="1" applyFont="1" applyAlignment="1">
      <alignment horizontal="center" vertical="center"/>
    </xf>
    <xf numFmtId="167" fontId="110" fillId="0" borderId="0" xfId="0" applyNumberFormat="1" applyFont="1" applyAlignment="1">
      <alignment horizontal="center" vertical="center"/>
    </xf>
    <xf numFmtId="167" fontId="110" fillId="0" borderId="0" xfId="0" applyNumberFormat="1" applyFont="1" applyAlignment="1">
      <alignment horizontal="right" vertical="center"/>
    </xf>
    <xf numFmtId="1" fontId="118" fillId="0" borderId="0" xfId="0" applyNumberFormat="1" applyFont="1" applyAlignment="1">
      <alignment horizontal="center" vertical="center"/>
    </xf>
    <xf numFmtId="167" fontId="110" fillId="0" borderId="0" xfId="0" applyNumberFormat="1" applyFont="1" applyAlignment="1">
      <alignment horizontal="center"/>
    </xf>
    <xf numFmtId="172" fontId="113" fillId="0" borderId="0" xfId="0" applyNumberFormat="1" applyFont="1" applyAlignment="1">
      <alignment horizontal="center" vertical="center"/>
    </xf>
    <xf numFmtId="167" fontId="113" fillId="0" borderId="0" xfId="0" applyNumberFormat="1" applyFont="1" applyAlignment="1">
      <alignment horizontal="center" vertical="center"/>
    </xf>
    <xf numFmtId="165" fontId="110" fillId="0" borderId="0" xfId="0" applyFont="1" applyAlignment="1">
      <alignment horizontal="center" vertical="center"/>
    </xf>
    <xf numFmtId="165" fontId="110" fillId="0" borderId="0" xfId="0" applyFont="1" applyAlignment="1">
      <alignment horizontal="left" vertical="center"/>
    </xf>
    <xf numFmtId="169" fontId="119" fillId="0" borderId="1" xfId="0" applyNumberFormat="1" applyFont="1" applyBorder="1" applyAlignment="1">
      <alignment horizontal="right" vertical="center"/>
    </xf>
    <xf numFmtId="170" fontId="110" fillId="0" borderId="1" xfId="2" applyNumberFormat="1" applyFont="1" applyFill="1" applyBorder="1" applyAlignment="1" applyProtection="1">
      <alignment horizontal="right" vertical="center"/>
    </xf>
    <xf numFmtId="172" fontId="78" fillId="20" borderId="1" xfId="0" applyNumberFormat="1" applyFont="1" applyFill="1" applyBorder="1" applyAlignment="1">
      <alignment horizontal="right" vertical="center"/>
    </xf>
    <xf numFmtId="172" fontId="119" fillId="0" borderId="1" xfId="0" applyNumberFormat="1" applyFont="1" applyBorder="1" applyAlignment="1">
      <alignment horizontal="right" vertical="center"/>
    </xf>
    <xf numFmtId="167" fontId="111" fillId="0" borderId="0" xfId="0" applyNumberFormat="1" applyFont="1" applyAlignment="1">
      <alignment horizontal="center" vertical="center"/>
    </xf>
    <xf numFmtId="171" fontId="110" fillId="0" borderId="10" xfId="1" applyNumberFormat="1" applyFont="1" applyFill="1" applyBorder="1" applyAlignment="1" applyProtection="1">
      <alignment horizontal="right" vertical="center"/>
    </xf>
    <xf numFmtId="172" fontId="110" fillId="0" borderId="1" xfId="0" applyNumberFormat="1" applyFont="1" applyBorder="1" applyAlignment="1">
      <alignment horizontal="left" vertical="center"/>
    </xf>
    <xf numFmtId="172" fontId="102" fillId="0" borderId="2" xfId="0" applyNumberFormat="1" applyFont="1" applyBorder="1" applyAlignment="1">
      <alignment horizontal="right" vertical="center"/>
    </xf>
    <xf numFmtId="14" fontId="103" fillId="0" borderId="0" xfId="0" applyNumberFormat="1" applyFont="1" applyAlignment="1">
      <alignment vertical="center"/>
    </xf>
    <xf numFmtId="169" fontId="137" fillId="0" borderId="0" xfId="0" applyNumberFormat="1" applyFont="1" applyAlignment="1">
      <alignment horizontal="right" vertical="center"/>
    </xf>
    <xf numFmtId="170" fontId="103" fillId="0" borderId="0" xfId="2" applyNumberFormat="1" applyFont="1" applyFill="1" applyBorder="1" applyAlignment="1" applyProtection="1">
      <alignment horizontal="right" vertical="center"/>
    </xf>
    <xf numFmtId="172" fontId="103" fillId="0" borderId="0" xfId="0" applyNumberFormat="1" applyFont="1" applyAlignment="1">
      <alignment horizontal="right" vertical="center"/>
    </xf>
    <xf numFmtId="172" fontId="137" fillId="0" borderId="0" xfId="0" applyNumberFormat="1" applyFont="1" applyAlignment="1">
      <alignment horizontal="right" vertical="center"/>
    </xf>
    <xf numFmtId="167" fontId="136" fillId="0" borderId="0" xfId="0" applyNumberFormat="1" applyFont="1" applyAlignment="1">
      <alignment horizontal="center" vertical="center"/>
    </xf>
    <xf numFmtId="171" fontId="103" fillId="0" borderId="0" xfId="1" applyNumberFormat="1" applyFont="1" applyFill="1" applyBorder="1" applyAlignment="1" applyProtection="1">
      <alignment vertical="center"/>
    </xf>
    <xf numFmtId="172" fontId="103" fillId="0" borderId="0" xfId="0" applyNumberFormat="1" applyFont="1" applyAlignment="1">
      <alignment horizontal="left" vertical="center"/>
    </xf>
    <xf numFmtId="169" fontId="23" fillId="0" borderId="1" xfId="0" applyNumberFormat="1" applyFont="1" applyBorder="1" applyAlignment="1">
      <alignment horizontal="right" vertical="center"/>
    </xf>
    <xf numFmtId="170" fontId="16" fillId="0" borderId="1" xfId="2" applyNumberFormat="1" applyFont="1" applyFill="1" applyBorder="1" applyAlignment="1" applyProtection="1">
      <alignment horizontal="right" vertical="center"/>
    </xf>
    <xf numFmtId="172" fontId="37" fillId="0" borderId="1" xfId="0" applyNumberFormat="1" applyFont="1" applyBorder="1" applyAlignment="1">
      <alignment horizontal="right" vertical="center"/>
    </xf>
    <xf numFmtId="172" fontId="43" fillId="0" borderId="1" xfId="0" applyNumberFormat="1" applyFont="1" applyBorder="1" applyAlignment="1">
      <alignment horizontal="right" vertical="center"/>
    </xf>
    <xf numFmtId="172" fontId="42" fillId="0" borderId="1" xfId="0" applyNumberFormat="1" applyFont="1" applyBorder="1" applyAlignment="1">
      <alignment horizontal="right" vertical="center"/>
    </xf>
    <xf numFmtId="172" fontId="52" fillId="0" borderId="1" xfId="0" applyNumberFormat="1" applyFont="1" applyBorder="1" applyAlignment="1">
      <alignment horizontal="right" vertical="center"/>
    </xf>
    <xf numFmtId="172" fontId="97" fillId="0" borderId="1" xfId="0" applyNumberFormat="1" applyFont="1" applyBorder="1" applyAlignment="1">
      <alignment horizontal="right" vertical="center"/>
    </xf>
    <xf numFmtId="172" fontId="16" fillId="0" borderId="1" xfId="0" applyNumberFormat="1" applyFont="1" applyBorder="1" applyAlignment="1">
      <alignment horizontal="left" vertical="center"/>
    </xf>
    <xf numFmtId="172" fontId="82" fillId="0" borderId="1" xfId="0" applyNumberFormat="1" applyFont="1" applyBorder="1" applyAlignment="1">
      <alignment horizontal="right" vertical="center"/>
    </xf>
    <xf numFmtId="172" fontId="70" fillId="0" borderId="1" xfId="0" applyNumberFormat="1" applyFont="1" applyBorder="1" applyAlignment="1">
      <alignment horizontal="left" vertical="center"/>
    </xf>
    <xf numFmtId="169" fontId="54" fillId="15" borderId="2" xfId="0" applyNumberFormat="1" applyFont="1" applyFill="1" applyBorder="1" applyAlignment="1">
      <alignment horizontal="right" vertical="center"/>
    </xf>
    <xf numFmtId="170" fontId="68" fillId="15" borderId="2" xfId="2" applyNumberFormat="1" applyFont="1" applyFill="1" applyBorder="1" applyAlignment="1" applyProtection="1">
      <alignment horizontal="right" vertical="center"/>
    </xf>
    <xf numFmtId="172" fontId="81" fillId="15" borderId="2" xfId="0" applyNumberFormat="1" applyFont="1" applyFill="1" applyBorder="1" applyAlignment="1">
      <alignment horizontal="right" vertical="center"/>
    </xf>
    <xf numFmtId="172" fontId="70" fillId="15" borderId="2" xfId="0" applyNumberFormat="1" applyFont="1" applyFill="1" applyBorder="1" applyAlignment="1">
      <alignment horizontal="right" vertical="center"/>
    </xf>
    <xf numFmtId="172" fontId="71" fillId="15" borderId="2" xfId="0" applyNumberFormat="1" applyFont="1" applyFill="1" applyBorder="1" applyAlignment="1">
      <alignment horizontal="right" vertical="center"/>
    </xf>
    <xf numFmtId="172" fontId="73" fillId="15" borderId="2" xfId="0" applyNumberFormat="1" applyFont="1" applyFill="1" applyBorder="1" applyAlignment="1">
      <alignment horizontal="right" vertical="center"/>
    </xf>
    <xf numFmtId="1" fontId="40" fillId="15" borderId="0" xfId="0" applyNumberFormat="1" applyFont="1" applyFill="1" applyAlignment="1">
      <alignment horizontal="center" vertical="center"/>
    </xf>
    <xf numFmtId="172" fontId="72" fillId="15" borderId="0" xfId="0" applyNumberFormat="1" applyFont="1" applyFill="1" applyAlignment="1">
      <alignment horizontal="right" vertical="center"/>
    </xf>
    <xf numFmtId="172" fontId="73" fillId="15" borderId="0" xfId="0" applyNumberFormat="1" applyFont="1" applyFill="1" applyAlignment="1">
      <alignment horizontal="right" vertical="center"/>
    </xf>
    <xf numFmtId="170" fontId="54" fillId="15" borderId="0" xfId="0" applyNumberFormat="1" applyFont="1" applyFill="1" applyAlignment="1">
      <alignment horizontal="right" vertical="center"/>
    </xf>
    <xf numFmtId="170" fontId="71" fillId="15" borderId="0" xfId="0" applyNumberFormat="1" applyFont="1" applyFill="1" applyAlignment="1">
      <alignment horizontal="right" vertical="center"/>
    </xf>
    <xf numFmtId="165" fontId="57" fillId="15" borderId="0" xfId="0" applyFont="1" applyFill="1" applyAlignment="1">
      <alignment horizontal="right" vertical="center"/>
    </xf>
    <xf numFmtId="172" fontId="74" fillId="15" borderId="0" xfId="0" applyNumberFormat="1" applyFont="1" applyFill="1" applyAlignment="1">
      <alignment horizontal="right" vertical="center"/>
    </xf>
    <xf numFmtId="14" fontId="63" fillId="15" borderId="0" xfId="0" applyNumberFormat="1" applyFont="1" applyFill="1" applyAlignment="1">
      <alignment vertical="center"/>
    </xf>
    <xf numFmtId="165" fontId="136" fillId="0" borderId="0" xfId="0" applyFont="1" applyAlignment="1">
      <alignment horizontal="center"/>
    </xf>
    <xf numFmtId="170" fontId="47" fillId="0" borderId="0" xfId="0" applyNumberFormat="1" applyFont="1"/>
    <xf numFmtId="165" fontId="39" fillId="0" borderId="0" xfId="0" applyFont="1" applyAlignment="1">
      <alignment horizontal="center"/>
    </xf>
    <xf numFmtId="165" fontId="49" fillId="0" borderId="0" xfId="0" applyFont="1"/>
    <xf numFmtId="169" fontId="23" fillId="3" borderId="15" xfId="0" applyNumberFormat="1" applyFont="1" applyFill="1" applyBorder="1" applyAlignment="1">
      <alignment horizontal="right" vertical="center"/>
    </xf>
    <xf numFmtId="170" fontId="16" fillId="3" borderId="15" xfId="2" applyNumberFormat="1" applyFont="1" applyFill="1" applyBorder="1" applyAlignment="1" applyProtection="1">
      <alignment horizontal="right" vertical="center"/>
    </xf>
    <xf numFmtId="172" fontId="78" fillId="3" borderId="15" xfId="0" applyNumberFormat="1" applyFont="1" applyFill="1" applyBorder="1" applyAlignment="1">
      <alignment horizontal="right" vertical="center"/>
    </xf>
    <xf numFmtId="172" fontId="37" fillId="3" borderId="15" xfId="0" applyNumberFormat="1" applyFont="1" applyFill="1" applyBorder="1" applyAlignment="1">
      <alignment horizontal="right" vertical="center"/>
    </xf>
    <xf numFmtId="172" fontId="43" fillId="3" borderId="15" xfId="0" applyNumberFormat="1" applyFont="1" applyFill="1" applyBorder="1" applyAlignment="1">
      <alignment horizontal="right" vertical="center"/>
    </xf>
    <xf numFmtId="172" fontId="42" fillId="3" borderId="15" xfId="0" applyNumberFormat="1" applyFont="1" applyFill="1" applyBorder="1" applyAlignment="1">
      <alignment horizontal="right" vertical="center"/>
    </xf>
    <xf numFmtId="1" fontId="102" fillId="3" borderId="24" xfId="0" applyNumberFormat="1" applyFont="1" applyFill="1" applyBorder="1" applyAlignment="1">
      <alignment horizontal="center" vertical="center"/>
    </xf>
    <xf numFmtId="172" fontId="52" fillId="3" borderId="15" xfId="0" applyNumberFormat="1" applyFont="1" applyFill="1" applyBorder="1" applyAlignment="1">
      <alignment horizontal="right" vertical="center"/>
    </xf>
    <xf numFmtId="172" fontId="97" fillId="3" borderId="15" xfId="0" applyNumberFormat="1" applyFont="1" applyFill="1" applyBorder="1" applyAlignment="1">
      <alignment horizontal="right" vertical="center"/>
    </xf>
    <xf numFmtId="167" fontId="45" fillId="3" borderId="24" xfId="0" applyNumberFormat="1" applyFont="1" applyFill="1" applyBorder="1" applyAlignment="1">
      <alignment horizontal="center" vertical="center"/>
    </xf>
    <xf numFmtId="165" fontId="57" fillId="3" borderId="24" xfId="0" applyFont="1" applyFill="1" applyBorder="1" applyAlignment="1">
      <alignment horizontal="right" vertical="center"/>
    </xf>
    <xf numFmtId="172" fontId="16" fillId="3" borderId="15" xfId="0" applyNumberFormat="1" applyFont="1" applyFill="1" applyBorder="1" applyAlignment="1">
      <alignment horizontal="left" vertical="center"/>
    </xf>
    <xf numFmtId="172" fontId="82" fillId="3" borderId="15" xfId="0" applyNumberFormat="1" applyFont="1" applyFill="1" applyBorder="1" applyAlignment="1">
      <alignment horizontal="right" vertical="center"/>
    </xf>
    <xf numFmtId="169" fontId="23" fillId="0" borderId="5" xfId="0" applyNumberFormat="1" applyFont="1" applyBorder="1" applyAlignment="1">
      <alignment horizontal="right" vertical="center"/>
    </xf>
    <xf numFmtId="170" fontId="16" fillId="0" borderId="5" xfId="2" applyNumberFormat="1" applyFont="1" applyFill="1" applyBorder="1" applyAlignment="1" applyProtection="1">
      <alignment horizontal="right" vertical="center"/>
    </xf>
    <xf numFmtId="172" fontId="78" fillId="20" borderId="5" xfId="0" applyNumberFormat="1" applyFont="1" applyFill="1" applyBorder="1" applyAlignment="1">
      <alignment horizontal="right" vertical="center"/>
    </xf>
    <xf numFmtId="172" fontId="37" fillId="0" borderId="5" xfId="0" applyNumberFormat="1" applyFont="1" applyBorder="1" applyAlignment="1">
      <alignment horizontal="right" vertical="center"/>
    </xf>
    <xf numFmtId="172" fontId="43" fillId="0" borderId="5" xfId="0" applyNumberFormat="1" applyFont="1" applyBorder="1" applyAlignment="1">
      <alignment horizontal="right" vertical="center"/>
    </xf>
    <xf numFmtId="172" fontId="42" fillId="0" borderId="5" xfId="0" applyNumberFormat="1" applyFont="1" applyBorder="1" applyAlignment="1">
      <alignment horizontal="right" vertical="center"/>
    </xf>
    <xf numFmtId="172" fontId="52" fillId="0" borderId="5" xfId="0" applyNumberFormat="1" applyFont="1" applyBorder="1" applyAlignment="1">
      <alignment horizontal="right" vertical="center"/>
    </xf>
    <xf numFmtId="172" fontId="97" fillId="0" borderId="5" xfId="0" applyNumberFormat="1" applyFont="1" applyBorder="1" applyAlignment="1">
      <alignment horizontal="right" vertical="center"/>
    </xf>
    <xf numFmtId="171" fontId="36" fillId="0" borderId="14" xfId="1" applyNumberFormat="1" applyFont="1" applyFill="1" applyBorder="1" applyAlignment="1" applyProtection="1">
      <alignment vertical="center"/>
    </xf>
    <xf numFmtId="172" fontId="16" fillId="0" borderId="5" xfId="0" applyNumberFormat="1" applyFont="1" applyBorder="1" applyAlignment="1">
      <alignment horizontal="left" vertical="center"/>
    </xf>
    <xf numFmtId="171" fontId="47" fillId="0" borderId="0" xfId="1" applyNumberFormat="1" applyFont="1" applyFill="1" applyBorder="1" applyAlignment="1" applyProtection="1">
      <alignment vertical="center"/>
    </xf>
    <xf numFmtId="165" fontId="111" fillId="19" borderId="0" xfId="0" applyFont="1" applyFill="1" applyAlignment="1">
      <alignment horizontal="center"/>
    </xf>
    <xf numFmtId="177" fontId="81" fillId="0" borderId="0" xfId="0" applyNumberFormat="1" applyFont="1" applyAlignment="1">
      <alignment horizontal="center"/>
    </xf>
    <xf numFmtId="165" fontId="212" fillId="0" borderId="0" xfId="0" quotePrefix="1" applyFont="1" applyAlignment="1">
      <alignment horizontal="left"/>
    </xf>
    <xf numFmtId="172" fontId="113" fillId="19" borderId="0" xfId="0" applyNumberFormat="1" applyFont="1" applyFill="1" applyAlignment="1">
      <alignment horizontal="center" vertical="center"/>
    </xf>
    <xf numFmtId="167" fontId="113" fillId="19" borderId="0" xfId="0" applyNumberFormat="1" applyFont="1" applyFill="1" applyAlignment="1">
      <alignment horizontal="center" vertical="center"/>
    </xf>
    <xf numFmtId="165" fontId="115" fillId="19" borderId="0" xfId="0" applyFont="1" applyFill="1" applyAlignment="1">
      <alignment horizontal="right" vertical="center"/>
    </xf>
    <xf numFmtId="167" fontId="111" fillId="19" borderId="0" xfId="0" applyNumberFormat="1" applyFont="1" applyFill="1" applyAlignment="1">
      <alignment horizontal="center"/>
    </xf>
    <xf numFmtId="175" fontId="16" fillId="20" borderId="1" xfId="0" quotePrefix="1" applyNumberFormat="1" applyFont="1" applyFill="1" applyBorder="1" applyAlignment="1">
      <alignment horizontal="center" vertical="center"/>
    </xf>
    <xf numFmtId="3" fontId="111" fillId="19" borderId="0" xfId="0" applyNumberFormat="1" applyFont="1" applyFill="1" applyAlignment="1">
      <alignment horizontal="center" vertical="center"/>
    </xf>
    <xf numFmtId="172" fontId="46" fillId="11" borderId="1" xfId="0" applyNumberFormat="1" applyFont="1" applyFill="1" applyBorder="1" applyAlignment="1">
      <alignment vertical="center"/>
    </xf>
    <xf numFmtId="172" fontId="159" fillId="20" borderId="1" xfId="0" applyNumberFormat="1" applyFont="1" applyFill="1" applyBorder="1" applyAlignment="1">
      <alignment horizontal="center" vertical="center"/>
    </xf>
    <xf numFmtId="1" fontId="171" fillId="19" borderId="0" xfId="0" applyNumberFormat="1" applyFont="1" applyFill="1" applyAlignment="1">
      <alignment horizontal="center" vertical="center"/>
    </xf>
    <xf numFmtId="172" fontId="110" fillId="19" borderId="7" xfId="0" applyNumberFormat="1" applyFont="1" applyFill="1" applyBorder="1" applyAlignment="1">
      <alignment vertical="center"/>
    </xf>
    <xf numFmtId="172" fontId="110" fillId="19" borderId="8" xfId="0" applyNumberFormat="1" applyFont="1" applyFill="1" applyBorder="1" applyAlignment="1">
      <alignment horizontal="left" vertical="center"/>
    </xf>
    <xf numFmtId="167" fontId="111" fillId="19" borderId="0" xfId="0" applyNumberFormat="1" applyFont="1" applyFill="1" applyAlignment="1">
      <alignment horizontal="center" vertical="center"/>
    </xf>
    <xf numFmtId="165" fontId="48" fillId="20" borderId="1" xfId="0" applyFont="1" applyFill="1" applyBorder="1" applyAlignment="1">
      <alignment horizontal="center" vertical="center"/>
    </xf>
    <xf numFmtId="165" fontId="110" fillId="19" borderId="1" xfId="0" applyFont="1" applyFill="1" applyBorder="1" applyAlignment="1">
      <alignment vertical="center"/>
    </xf>
    <xf numFmtId="172" fontId="110" fillId="19" borderId="1" xfId="0" applyNumberFormat="1" applyFont="1" applyFill="1" applyBorder="1" applyAlignment="1">
      <alignment vertical="center"/>
    </xf>
    <xf numFmtId="167" fontId="81" fillId="0" borderId="0" xfId="0" applyNumberFormat="1" applyFont="1" applyAlignment="1">
      <alignment vertical="top"/>
    </xf>
    <xf numFmtId="167" fontId="68" fillId="0" borderId="0" xfId="0" applyNumberFormat="1" applyFont="1" applyAlignment="1">
      <alignment horizontal="left" vertical="top"/>
    </xf>
    <xf numFmtId="172" fontId="70" fillId="0" borderId="0" xfId="0" applyNumberFormat="1" applyFont="1" applyAlignment="1">
      <alignment horizontal="right" vertical="center"/>
    </xf>
    <xf numFmtId="165" fontId="6" fillId="0" borderId="30" xfId="0" applyFont="1" applyBorder="1" applyAlignment="1">
      <alignment vertical="center"/>
    </xf>
    <xf numFmtId="165" fontId="40" fillId="0" borderId="30" xfId="0" applyFont="1" applyBorder="1" applyAlignment="1">
      <alignment vertical="center"/>
    </xf>
    <xf numFmtId="169" fontId="6" fillId="0" borderId="30" xfId="0" applyNumberFormat="1" applyFont="1" applyBorder="1" applyAlignment="1">
      <alignment horizontal="right" vertical="center"/>
    </xf>
    <xf numFmtId="165" fontId="29" fillId="0" borderId="30" xfId="0" applyFont="1" applyBorder="1" applyAlignment="1">
      <alignment vertical="center"/>
    </xf>
    <xf numFmtId="165" fontId="86" fillId="0" borderId="30" xfId="0" applyFont="1" applyBorder="1" applyAlignment="1">
      <alignment horizontal="right" vertical="center"/>
    </xf>
    <xf numFmtId="165" fontId="15" fillId="0" borderId="30" xfId="0" applyFont="1" applyBorder="1" applyAlignment="1">
      <alignment vertical="center"/>
    </xf>
    <xf numFmtId="165" fontId="93" fillId="0" borderId="30" xfId="0" applyFont="1" applyBorder="1" applyAlignment="1">
      <alignment vertical="center"/>
    </xf>
    <xf numFmtId="1" fontId="40" fillId="0" borderId="30" xfId="0" applyNumberFormat="1" applyFont="1" applyBorder="1" applyAlignment="1">
      <alignment horizontal="center" vertical="center"/>
    </xf>
    <xf numFmtId="166" fontId="9" fillId="0" borderId="30" xfId="0" applyNumberFormat="1" applyFont="1" applyBorder="1" applyAlignment="1">
      <alignment vertical="center"/>
    </xf>
    <xf numFmtId="166" fontId="15" fillId="0" borderId="30" xfId="0" applyNumberFormat="1" applyFont="1" applyBorder="1" applyAlignment="1">
      <alignment vertical="center"/>
    </xf>
    <xf numFmtId="166" fontId="21" fillId="0" borderId="30" xfId="0" applyNumberFormat="1" applyFont="1" applyBorder="1" applyAlignment="1">
      <alignment vertical="center"/>
    </xf>
    <xf numFmtId="165" fontId="57" fillId="0" borderId="30" xfId="0" applyFont="1" applyBorder="1" applyAlignment="1">
      <alignment horizontal="right" vertical="center"/>
    </xf>
    <xf numFmtId="165" fontId="57" fillId="0" borderId="30" xfId="0" applyFont="1" applyBorder="1" applyAlignment="1">
      <alignment vertical="center"/>
    </xf>
    <xf numFmtId="165" fontId="86" fillId="0" borderId="0" xfId="0" applyFont="1" applyAlignment="1">
      <alignment horizontal="right" vertical="center"/>
    </xf>
    <xf numFmtId="165" fontId="87" fillId="0" borderId="0" xfId="0" applyFont="1" applyAlignment="1">
      <alignment horizontal="right" vertical="center"/>
    </xf>
    <xf numFmtId="165" fontId="88" fillId="0" borderId="0" xfId="0" applyFont="1" applyAlignment="1">
      <alignment horizontal="right" vertical="center"/>
    </xf>
    <xf numFmtId="165" fontId="89" fillId="0" borderId="0" xfId="0" applyFont="1" applyAlignment="1">
      <alignment horizontal="right" vertical="center"/>
    </xf>
    <xf numFmtId="172" fontId="159" fillId="0" borderId="0" xfId="0" applyNumberFormat="1" applyFont="1" applyAlignment="1" applyProtection="1">
      <alignment horizontal="center" vertical="center"/>
      <protection locked="0"/>
    </xf>
    <xf numFmtId="165" fontId="108" fillId="0" borderId="0" xfId="0" applyFont="1" applyAlignment="1">
      <alignment horizontal="left" vertical="center"/>
    </xf>
    <xf numFmtId="172" fontId="209" fillId="13" borderId="1" xfId="0" applyNumberFormat="1" applyFont="1" applyFill="1" applyBorder="1" applyAlignment="1" applyProtection="1">
      <alignment vertical="center"/>
      <protection locked="0"/>
    </xf>
    <xf numFmtId="186" fontId="152" fillId="0" borderId="0" xfId="1" applyNumberFormat="1" applyFont="1" applyAlignment="1">
      <alignment horizontal="center" vertical="center"/>
    </xf>
    <xf numFmtId="170" fontId="108" fillId="0" borderId="23" xfId="0" applyNumberFormat="1" applyFont="1" applyBorder="1" applyAlignment="1">
      <alignment horizontal="right" vertical="center"/>
    </xf>
    <xf numFmtId="172" fontId="209" fillId="0" borderId="2" xfId="0" applyNumberFormat="1" applyFont="1" applyBorder="1" applyAlignment="1">
      <alignment vertical="center"/>
    </xf>
    <xf numFmtId="172" fontId="78" fillId="0" borderId="0" xfId="0" applyNumberFormat="1" applyFont="1" applyAlignment="1">
      <alignment vertical="center"/>
    </xf>
    <xf numFmtId="165" fontId="212" fillId="0" borderId="0" xfId="0" applyFont="1" applyAlignment="1">
      <alignment horizontal="left" vertical="center"/>
    </xf>
    <xf numFmtId="171" fontId="98" fillId="0" borderId="0" xfId="1" applyNumberFormat="1" applyFont="1" applyAlignment="1" applyProtection="1">
      <alignment horizontal="right" vertical="center"/>
    </xf>
    <xf numFmtId="165" fontId="211" fillId="0" borderId="0" xfId="0" applyFont="1" applyAlignment="1">
      <alignment horizontal="center" vertical="center"/>
    </xf>
    <xf numFmtId="186" fontId="237" fillId="0" borderId="0" xfId="1" applyNumberFormat="1" applyFont="1" applyAlignment="1">
      <alignment horizontal="center" vertical="center"/>
    </xf>
    <xf numFmtId="170" fontId="241" fillId="2" borderId="1" xfId="0" applyNumberFormat="1" applyFont="1" applyFill="1" applyBorder="1" applyAlignment="1">
      <alignment horizontal="right" vertical="center"/>
    </xf>
    <xf numFmtId="177" fontId="40" fillId="0" borderId="4" xfId="0" applyNumberFormat="1" applyFont="1" applyBorder="1" applyAlignment="1">
      <alignment horizontal="right" vertical="center"/>
    </xf>
    <xf numFmtId="175" fontId="103" fillId="0" borderId="4" xfId="0" applyNumberFormat="1" applyFont="1" applyBorder="1" applyAlignment="1">
      <alignment horizontal="right" vertical="center"/>
    </xf>
    <xf numFmtId="165" fontId="223" fillId="29" borderId="0" xfId="0" applyFont="1" applyFill="1" applyAlignment="1">
      <alignment horizontal="center" vertical="center"/>
    </xf>
    <xf numFmtId="173" fontId="163" fillId="22" borderId="0" xfId="0" applyNumberFormat="1" applyFont="1" applyFill="1" applyAlignment="1">
      <alignment horizontal="center" vertical="center"/>
    </xf>
    <xf numFmtId="165" fontId="164" fillId="2" borderId="0" xfId="0" applyFont="1" applyFill="1" applyAlignment="1">
      <alignment horizontal="center" vertical="center"/>
    </xf>
    <xf numFmtId="14" fontId="212" fillId="13" borderId="1" xfId="0" applyNumberFormat="1" applyFont="1" applyFill="1" applyBorder="1" applyAlignment="1" applyProtection="1">
      <alignment horizontal="center" vertical="center"/>
      <protection locked="0"/>
    </xf>
    <xf numFmtId="189" fontId="212" fillId="13" borderId="1" xfId="0" applyNumberFormat="1" applyFont="1" applyFill="1" applyBorder="1" applyAlignment="1">
      <alignment horizontal="center" vertical="top"/>
    </xf>
    <xf numFmtId="165" fontId="242" fillId="0" borderId="35" xfId="0" applyFont="1" applyBorder="1" applyAlignment="1" applyProtection="1">
      <alignment horizontal="center"/>
      <protection locked="0"/>
    </xf>
    <xf numFmtId="165" fontId="104" fillId="0" borderId="0" xfId="0" applyFont="1" applyAlignment="1">
      <alignment horizontal="left" vertical="center"/>
    </xf>
    <xf numFmtId="165" fontId="104" fillId="0" borderId="0" xfId="0" applyFont="1" applyAlignment="1">
      <alignment horizontal="center" vertical="center"/>
    </xf>
    <xf numFmtId="170" fontId="37" fillId="0" borderId="0" xfId="0" applyNumberFormat="1" applyFont="1" applyAlignment="1">
      <alignment horizontal="right" vertical="center"/>
    </xf>
    <xf numFmtId="175" fontId="66" fillId="0" borderId="0" xfId="0" applyNumberFormat="1" applyFont="1" applyAlignment="1">
      <alignment horizontal="right"/>
    </xf>
    <xf numFmtId="175" fontId="194" fillId="16" borderId="0" xfId="0" applyNumberFormat="1" applyFont="1" applyFill="1" applyAlignment="1">
      <alignment horizontal="center" vertical="center"/>
    </xf>
    <xf numFmtId="175" fontId="245" fillId="16" borderId="0" xfId="0" applyNumberFormat="1" applyFont="1" applyFill="1" applyAlignment="1">
      <alignment horizontal="center" vertical="center"/>
    </xf>
    <xf numFmtId="175" fontId="194" fillId="3" borderId="0" xfId="0" applyNumberFormat="1" applyFont="1" applyFill="1" applyAlignment="1">
      <alignment horizontal="center" vertical="center"/>
    </xf>
    <xf numFmtId="174" fontId="244" fillId="9" borderId="0" xfId="0" applyNumberFormat="1" applyFont="1" applyFill="1" applyAlignment="1">
      <alignment horizontal="right" vertical="center"/>
    </xf>
    <xf numFmtId="165" fontId="243" fillId="9" borderId="0" xfId="0" applyFont="1" applyFill="1" applyAlignment="1">
      <alignment vertical="center"/>
    </xf>
    <xf numFmtId="174" fontId="244" fillId="9" borderId="0" xfId="0" applyNumberFormat="1" applyFont="1" applyFill="1" applyAlignment="1">
      <alignment vertical="center"/>
    </xf>
    <xf numFmtId="174" fontId="23" fillId="9" borderId="0" xfId="0" applyNumberFormat="1" applyFont="1" applyFill="1" applyAlignment="1">
      <alignment vertical="center"/>
    </xf>
    <xf numFmtId="165" fontId="49" fillId="9" borderId="0" xfId="0" applyFont="1" applyFill="1" applyAlignment="1">
      <alignment vertical="center"/>
    </xf>
    <xf numFmtId="175" fontId="66" fillId="9" borderId="0" xfId="0" applyNumberFormat="1" applyFont="1" applyFill="1" applyAlignment="1">
      <alignment horizontal="center"/>
    </xf>
    <xf numFmtId="175" fontId="110" fillId="9" borderId="0" xfId="0" applyNumberFormat="1" applyFont="1" applyFill="1" applyAlignment="1">
      <alignment horizontal="center"/>
    </xf>
    <xf numFmtId="166" fontId="246" fillId="9" borderId="0" xfId="0" applyNumberFormat="1" applyFont="1" applyFill="1" applyAlignment="1">
      <alignment vertical="center"/>
    </xf>
    <xf numFmtId="166" fontId="104" fillId="0" borderId="4" xfId="0" applyNumberFormat="1" applyFont="1" applyBorder="1" applyAlignment="1">
      <alignment horizontal="left" vertical="center"/>
    </xf>
    <xf numFmtId="165" fontId="24" fillId="0" borderId="4" xfId="0" applyFont="1" applyBorder="1" applyAlignment="1">
      <alignment vertical="center"/>
    </xf>
    <xf numFmtId="165" fontId="104" fillId="0" borderId="4" xfId="0" applyFont="1" applyBorder="1" applyAlignment="1">
      <alignment vertical="center"/>
    </xf>
    <xf numFmtId="3" fontId="193" fillId="0" borderId="0" xfId="0" applyNumberFormat="1" applyFont="1" applyAlignment="1">
      <alignment horizontal="center" vertical="center"/>
    </xf>
    <xf numFmtId="3" fontId="229" fillId="0" borderId="0" xfId="0" applyNumberFormat="1" applyFont="1" applyAlignment="1">
      <alignment horizontal="center" vertical="center"/>
    </xf>
    <xf numFmtId="165" fontId="247" fillId="0" borderId="0" xfId="0" applyFont="1" applyAlignment="1">
      <alignment horizontal="center" vertical="center"/>
    </xf>
    <xf numFmtId="3" fontId="14" fillId="9" borderId="1" xfId="0" applyNumberFormat="1" applyFont="1" applyFill="1" applyBorder="1" applyAlignment="1">
      <alignment horizontal="center" vertical="center"/>
    </xf>
    <xf numFmtId="165" fontId="248" fillId="13" borderId="5" xfId="0" applyFont="1" applyFill="1" applyBorder="1" applyAlignment="1" applyProtection="1">
      <alignment horizontal="center" vertical="center"/>
      <protection locked="0"/>
    </xf>
    <xf numFmtId="165" fontId="248" fillId="0" borderId="0" xfId="0" applyFont="1" applyAlignment="1">
      <alignment horizontal="right" vertical="center"/>
    </xf>
    <xf numFmtId="165" fontId="249" fillId="0" borderId="0" xfId="0" applyFont="1" applyAlignment="1">
      <alignment horizontal="right" vertical="center"/>
    </xf>
    <xf numFmtId="165" fontId="248" fillId="0" borderId="0" xfId="0" applyFont="1" applyAlignment="1">
      <alignment horizontal="right" textRotation="90"/>
    </xf>
    <xf numFmtId="175" fontId="248" fillId="0" borderId="0" xfId="0" applyNumberFormat="1" applyFont="1" applyAlignment="1">
      <alignment horizontal="right" vertical="center"/>
    </xf>
    <xf numFmtId="165" fontId="250" fillId="0" borderId="0" xfId="0" applyFont="1" applyAlignment="1">
      <alignment horizontal="right" vertical="center"/>
    </xf>
    <xf numFmtId="165" fontId="250" fillId="0" borderId="6" xfId="0" applyFont="1" applyBorder="1" applyAlignment="1">
      <alignment horizontal="right" vertical="center"/>
    </xf>
    <xf numFmtId="14" fontId="248" fillId="0" borderId="0" xfId="0" applyNumberFormat="1" applyFont="1" applyAlignment="1">
      <alignment horizontal="right" vertical="top"/>
    </xf>
    <xf numFmtId="165" fontId="251" fillId="0" borderId="0" xfId="0" applyFont="1" applyAlignment="1">
      <alignment horizontal="right" vertical="center"/>
    </xf>
    <xf numFmtId="164" fontId="76" fillId="3" borderId="1" xfId="0" applyNumberFormat="1" applyFont="1" applyFill="1" applyBorder="1" applyAlignment="1">
      <alignment horizontal="center" vertical="center"/>
    </xf>
    <xf numFmtId="169" fontId="67" fillId="0" borderId="4" xfId="0" applyNumberFormat="1" applyFont="1" applyBorder="1"/>
    <xf numFmtId="169" fontId="54" fillId="0" borderId="4" xfId="0" applyNumberFormat="1" applyFont="1" applyBorder="1" applyAlignment="1">
      <alignment horizontal="left"/>
    </xf>
    <xf numFmtId="169" fontId="221" fillId="0" borderId="4" xfId="0" applyNumberFormat="1" applyFont="1" applyBorder="1" applyAlignment="1">
      <alignment horizontal="center"/>
    </xf>
    <xf numFmtId="177" fontId="46" fillId="0" borderId="4" xfId="0" applyNumberFormat="1" applyFont="1" applyBorder="1" applyAlignment="1">
      <alignment horizontal="right" vertical="center"/>
    </xf>
    <xf numFmtId="165" fontId="6" fillId="0" borderId="4" xfId="0" applyFont="1" applyBorder="1" applyAlignment="1">
      <alignment vertical="center"/>
    </xf>
    <xf numFmtId="165" fontId="115" fillId="0" borderId="4" xfId="0" applyFont="1" applyBorder="1" applyAlignment="1">
      <alignment vertical="center"/>
    </xf>
    <xf numFmtId="165" fontId="115" fillId="0" borderId="4" xfId="0" applyFont="1" applyBorder="1" applyAlignment="1">
      <alignment horizontal="right" vertical="center"/>
    </xf>
    <xf numFmtId="178" fontId="51" fillId="0" borderId="4" xfId="0" applyNumberFormat="1" applyFont="1" applyBorder="1" applyAlignment="1">
      <alignment vertical="center"/>
    </xf>
    <xf numFmtId="178" fontId="16" fillId="0" borderId="4" xfId="0" applyNumberFormat="1" applyFont="1" applyBorder="1" applyAlignment="1">
      <alignment vertical="center"/>
    </xf>
    <xf numFmtId="170" fontId="61" fillId="0" borderId="4" xfId="0" applyNumberFormat="1" applyFont="1" applyBorder="1" applyAlignment="1">
      <alignment vertical="center"/>
    </xf>
    <xf numFmtId="170" fontId="62" fillId="0" borderId="4" xfId="0" applyNumberFormat="1" applyFont="1" applyBorder="1" applyAlignment="1">
      <alignment vertical="center"/>
    </xf>
    <xf numFmtId="169" fontId="67" fillId="0" borderId="4" xfId="0" applyNumberFormat="1" applyFont="1" applyBorder="1" applyAlignment="1">
      <alignment vertical="center"/>
    </xf>
    <xf numFmtId="169" fontId="62" fillId="0" borderId="0" xfId="0" applyNumberFormat="1" applyFont="1"/>
    <xf numFmtId="165" fontId="44" fillId="0" borderId="0" xfId="0" quotePrefix="1" applyFont="1" applyAlignment="1">
      <alignment horizontal="left" vertical="top" wrapText="1"/>
    </xf>
    <xf numFmtId="165" fontId="238" fillId="0" borderId="0" xfId="0" applyFont="1" applyAlignment="1">
      <alignment horizontal="left" vertical="top"/>
    </xf>
    <xf numFmtId="185" fontId="239" fillId="5" borderId="7" xfId="0" applyNumberFormat="1" applyFont="1" applyFill="1" applyBorder="1" applyAlignment="1">
      <alignment horizontal="center" vertical="center"/>
    </xf>
    <xf numFmtId="185" fontId="239" fillId="5" borderId="8" xfId="0" applyNumberFormat="1" applyFont="1" applyFill="1" applyBorder="1" applyAlignment="1">
      <alignment horizontal="center" vertical="center"/>
    </xf>
    <xf numFmtId="188" fontId="202" fillId="14" borderId="7" xfId="0" applyNumberFormat="1" applyFont="1" applyFill="1" applyBorder="1" applyAlignment="1">
      <alignment horizontal="center" vertical="center"/>
    </xf>
    <xf numFmtId="188" fontId="202" fillId="14" borderId="8" xfId="0" applyNumberFormat="1" applyFont="1" applyFill="1" applyBorder="1" applyAlignment="1">
      <alignment horizontal="center" vertical="center"/>
    </xf>
    <xf numFmtId="165" fontId="66" fillId="0" borderId="28" xfId="0" applyFont="1" applyBorder="1" applyAlignment="1" applyProtection="1">
      <alignment horizontal="center" vertical="center"/>
      <protection locked="0"/>
    </xf>
    <xf numFmtId="187" fontId="152" fillId="0" borderId="0" xfId="1" applyNumberFormat="1" applyFont="1" applyAlignment="1">
      <alignment horizontal="right" vertical="center"/>
    </xf>
    <xf numFmtId="181" fontId="64" fillId="29" borderId="7" xfId="0" applyNumberFormat="1" applyFont="1" applyFill="1" applyBorder="1" applyAlignment="1">
      <alignment horizontal="center" vertical="center"/>
    </xf>
    <xf numFmtId="181" fontId="64" fillId="29" borderId="23" xfId="0" applyNumberFormat="1" applyFont="1" applyFill="1" applyBorder="1" applyAlignment="1">
      <alignment horizontal="center" vertical="center"/>
    </xf>
    <xf numFmtId="181" fontId="64" fillId="29" borderId="8" xfId="0" applyNumberFormat="1" applyFont="1" applyFill="1" applyBorder="1" applyAlignment="1">
      <alignment horizontal="center" vertical="center"/>
    </xf>
    <xf numFmtId="182" fontId="133" fillId="0" borderId="0" xfId="0" applyNumberFormat="1" applyFont="1" applyAlignment="1">
      <alignment horizontal="center" vertical="center"/>
    </xf>
    <xf numFmtId="183" fontId="133" fillId="0" borderId="0" xfId="0" applyNumberFormat="1" applyFont="1" applyAlignment="1">
      <alignment horizontal="center" vertical="center"/>
    </xf>
    <xf numFmtId="184" fontId="133" fillId="0" borderId="0" xfId="0" applyNumberFormat="1" applyFont="1" applyAlignment="1">
      <alignment horizontal="center" vertical="center"/>
    </xf>
    <xf numFmtId="167" fontId="111" fillId="0" borderId="0" xfId="0" applyNumberFormat="1" applyFont="1" applyAlignment="1">
      <alignment horizontal="center"/>
    </xf>
    <xf numFmtId="165" fontId="103" fillId="0" borderId="0" xfId="0" applyFont="1" applyAlignment="1">
      <alignment horizontal="center" vertical="center"/>
    </xf>
    <xf numFmtId="165" fontId="137" fillId="0" borderId="0" xfId="0" applyFont="1" applyAlignment="1">
      <alignment horizontal="center" vertical="center"/>
    </xf>
    <xf numFmtId="14" fontId="193" fillId="32" borderId="7" xfId="0" applyNumberFormat="1" applyFont="1" applyFill="1" applyBorder="1" applyAlignment="1">
      <alignment horizontal="right" vertical="center"/>
    </xf>
    <xf numFmtId="14" fontId="193" fillId="32" borderId="23" xfId="0" applyNumberFormat="1" applyFont="1" applyFill="1" applyBorder="1" applyAlignment="1">
      <alignment horizontal="right" vertical="center"/>
    </xf>
    <xf numFmtId="174" fontId="70" fillId="3" borderId="7" xfId="0" applyNumberFormat="1" applyFont="1" applyFill="1" applyBorder="1" applyAlignment="1">
      <alignment horizontal="center" vertical="center"/>
    </xf>
    <xf numFmtId="174" fontId="70" fillId="3" borderId="8" xfId="0" applyNumberFormat="1" applyFont="1" applyFill="1" applyBorder="1" applyAlignment="1">
      <alignment horizontal="center" vertical="center"/>
    </xf>
    <xf numFmtId="172" fontId="103" fillId="0" borderId="0" xfId="0" quotePrefix="1" applyNumberFormat="1" applyFont="1" applyAlignment="1">
      <alignment horizontal="center" vertical="center"/>
    </xf>
    <xf numFmtId="190" fontId="152" fillId="4" borderId="12" xfId="0" applyNumberFormat="1" applyFont="1" applyFill="1" applyBorder="1" applyAlignment="1">
      <alignment horizontal="center" vertical="center"/>
    </xf>
    <xf numFmtId="190" fontId="152" fillId="4" borderId="29" xfId="0" applyNumberFormat="1" applyFont="1" applyFill="1" applyBorder="1" applyAlignment="1">
      <alignment horizontal="center" vertical="center"/>
    </xf>
    <xf numFmtId="169" fontId="54" fillId="0" borderId="0" xfId="0" applyNumberFormat="1" applyFont="1" applyAlignment="1">
      <alignment horizontal="right" vertical="center"/>
    </xf>
    <xf numFmtId="170" fontId="19" fillId="0" borderId="0" xfId="0" quotePrefix="1" applyNumberFormat="1" applyFont="1" applyAlignment="1">
      <alignment horizontal="center" vertical="center"/>
    </xf>
    <xf numFmtId="172" fontId="116" fillId="3" borderId="7" xfId="0" applyNumberFormat="1" applyFont="1" applyFill="1" applyBorder="1" applyAlignment="1">
      <alignment horizontal="center" vertical="center"/>
    </xf>
    <xf numFmtId="172" fontId="116" fillId="3" borderId="8" xfId="0" applyNumberFormat="1" applyFont="1" applyFill="1" applyBorder="1" applyAlignment="1">
      <alignment horizontal="center" vertical="center"/>
    </xf>
    <xf numFmtId="14" fontId="66" fillId="0" borderId="11" xfId="0" applyNumberFormat="1" applyFont="1" applyBorder="1" applyAlignment="1">
      <alignment horizontal="left"/>
    </xf>
    <xf numFmtId="14" fontId="66" fillId="0" borderId="2" xfId="0" applyNumberFormat="1" applyFont="1" applyBorder="1" applyAlignment="1">
      <alignment horizontal="left"/>
    </xf>
    <xf numFmtId="175" fontId="81" fillId="0" borderId="28" xfId="0" applyNumberFormat="1" applyFont="1" applyBorder="1" applyAlignment="1">
      <alignment horizontal="center" vertical="center" wrapText="1"/>
    </xf>
    <xf numFmtId="165" fontId="40" fillId="0" borderId="0" xfId="0" applyFont="1" applyAlignment="1">
      <alignment horizontal="center" vertical="top"/>
    </xf>
    <xf numFmtId="170" fontId="79" fillId="0" borderId="0" xfId="0" applyNumberFormat="1" applyFont="1" applyAlignment="1">
      <alignment horizontal="center" vertical="center"/>
    </xf>
    <xf numFmtId="14" fontId="66" fillId="0" borderId="9" xfId="0" applyNumberFormat="1" applyFont="1" applyBorder="1" applyAlignment="1">
      <alignment horizontal="left" vertical="top"/>
    </xf>
    <xf numFmtId="14" fontId="66" fillId="0" borderId="0" xfId="0" applyNumberFormat="1" applyFont="1" applyAlignment="1">
      <alignment horizontal="left" vertical="top"/>
    </xf>
    <xf numFmtId="165" fontId="240" fillId="0" borderId="9" xfId="0" applyFont="1" applyBorder="1" applyAlignment="1">
      <alignment horizontal="left" vertical="center"/>
    </xf>
    <xf numFmtId="165" fontId="240" fillId="0" borderId="0" xfId="0" applyFont="1" applyAlignment="1">
      <alignment horizontal="left" vertical="center"/>
    </xf>
    <xf numFmtId="165" fontId="241" fillId="0" borderId="9" xfId="0" applyFont="1" applyBorder="1" applyAlignment="1">
      <alignment horizontal="left" vertical="center"/>
    </xf>
    <xf numFmtId="165" fontId="241" fillId="0" borderId="0" xfId="0" applyFont="1" applyAlignment="1">
      <alignment horizontal="left" vertical="center"/>
    </xf>
    <xf numFmtId="170" fontId="36" fillId="5" borderId="7" xfId="0" applyNumberFormat="1" applyFont="1" applyFill="1" applyBorder="1" applyAlignment="1">
      <alignment horizontal="center" vertical="center"/>
    </xf>
    <xf numFmtId="170" fontId="36" fillId="5" borderId="8" xfId="0" applyNumberFormat="1" applyFont="1" applyFill="1" applyBorder="1" applyAlignment="1">
      <alignment horizontal="center" vertical="center"/>
    </xf>
    <xf numFmtId="167" fontId="44" fillId="0" borderId="0" xfId="0" applyNumberFormat="1" applyFont="1" applyAlignment="1">
      <alignment horizontal="center"/>
    </xf>
    <xf numFmtId="172" fontId="35" fillId="9" borderId="23" xfId="0" applyNumberFormat="1" applyFont="1" applyFill="1" applyBorder="1" applyAlignment="1">
      <alignment horizontal="center" vertical="center"/>
    </xf>
    <xf numFmtId="172" fontId="35" fillId="9" borderId="8" xfId="0" applyNumberFormat="1" applyFont="1" applyFill="1" applyBorder="1" applyAlignment="1">
      <alignment horizontal="center" vertical="center"/>
    </xf>
    <xf numFmtId="165" fontId="44" fillId="0" borderId="7" xfId="0" applyFont="1" applyBorder="1" applyAlignment="1">
      <alignment horizontal="center" vertical="center"/>
    </xf>
    <xf numFmtId="165" fontId="44" fillId="0" borderId="8" xfId="0" applyFont="1" applyBorder="1" applyAlignment="1">
      <alignment horizontal="center" vertical="center"/>
    </xf>
    <xf numFmtId="173" fontId="163" fillId="22" borderId="0" xfId="0" applyNumberFormat="1" applyFont="1" applyFill="1" applyAlignment="1">
      <alignment horizontal="center" vertical="center"/>
    </xf>
    <xf numFmtId="165" fontId="164" fillId="2" borderId="0" xfId="0" applyFont="1" applyFill="1" applyAlignment="1">
      <alignment horizontal="center" vertical="center"/>
    </xf>
    <xf numFmtId="165" fontId="79" fillId="0" borderId="28" xfId="0" applyFont="1" applyBorder="1" applyAlignment="1">
      <alignment horizontal="center" vertical="center" wrapText="1"/>
    </xf>
    <xf numFmtId="165" fontId="106" fillId="0" borderId="0" xfId="0" applyFont="1" applyAlignment="1">
      <alignment horizontal="left" vertical="center"/>
    </xf>
    <xf numFmtId="165" fontId="106" fillId="0" borderId="0" xfId="0" applyFont="1" applyAlignment="1">
      <alignment horizontal="center" vertical="center"/>
    </xf>
    <xf numFmtId="165" fontId="106" fillId="0" borderId="6" xfId="0" applyFont="1" applyBorder="1" applyAlignment="1">
      <alignment horizontal="left" vertical="center"/>
    </xf>
    <xf numFmtId="165" fontId="223" fillId="29" borderId="0" xfId="0" applyFont="1" applyFill="1" applyAlignment="1">
      <alignment horizontal="center" vertical="center"/>
    </xf>
    <xf numFmtId="172" fontId="68" fillId="0" borderId="28" xfId="0" applyNumberFormat="1" applyFont="1" applyBorder="1" applyAlignment="1">
      <alignment horizontal="center" vertical="center"/>
    </xf>
    <xf numFmtId="170" fontId="103" fillId="4" borderId="23" xfId="0" applyNumberFormat="1" applyFont="1" applyFill="1" applyBorder="1" applyAlignment="1">
      <alignment horizontal="left" vertical="center"/>
    </xf>
    <xf numFmtId="170" fontId="103" fillId="4" borderId="8" xfId="0" applyNumberFormat="1" applyFont="1" applyFill="1" applyBorder="1" applyAlignment="1">
      <alignment horizontal="left" vertical="center"/>
    </xf>
    <xf numFmtId="14" fontId="176" fillId="0" borderId="0" xfId="0" applyNumberFormat="1" applyFont="1" applyAlignment="1">
      <alignment horizontal="center" vertical="top"/>
    </xf>
    <xf numFmtId="14" fontId="109" fillId="4" borderId="3" xfId="0" applyNumberFormat="1" applyFont="1" applyFill="1" applyBorder="1" applyAlignment="1">
      <alignment horizontal="center" vertical="center"/>
    </xf>
    <xf numFmtId="14" fontId="109" fillId="4" borderId="5" xfId="0" applyNumberFormat="1" applyFont="1" applyFill="1" applyBorder="1" applyAlignment="1">
      <alignment horizontal="center" vertical="center"/>
    </xf>
    <xf numFmtId="14" fontId="248" fillId="0" borderId="6" xfId="0" applyNumberFormat="1" applyFont="1" applyBorder="1" applyAlignment="1">
      <alignment horizontal="right" vertical="top"/>
    </xf>
    <xf numFmtId="172" fontId="202" fillId="14" borderId="9" xfId="0" applyNumberFormat="1" applyFont="1" applyFill="1" applyBorder="1" applyAlignment="1">
      <alignment horizontal="center" vertical="center"/>
    </xf>
    <xf numFmtId="172" fontId="202" fillId="14" borderId="0" xfId="0" applyNumberFormat="1" applyFont="1" applyFill="1" applyAlignment="1">
      <alignment horizontal="center" vertical="center"/>
    </xf>
    <xf numFmtId="165" fontId="172" fillId="0" borderId="0" xfId="0" applyFont="1" applyAlignment="1">
      <alignment horizontal="center" vertical="center"/>
    </xf>
    <xf numFmtId="169" fontId="67" fillId="0" borderId="31" xfId="0" applyNumberFormat="1" applyFont="1" applyBorder="1" applyAlignment="1">
      <alignment horizontal="center" vertical="top"/>
    </xf>
    <xf numFmtId="169" fontId="67" fillId="0" borderId="0" xfId="0" applyNumberFormat="1" applyFont="1" applyAlignment="1">
      <alignment horizontal="center" vertical="top"/>
    </xf>
    <xf numFmtId="169" fontId="67" fillId="0" borderId="28" xfId="0" applyNumberFormat="1" applyFont="1" applyBorder="1" applyAlignment="1">
      <alignment horizontal="center" vertical="top"/>
    </xf>
    <xf numFmtId="165" fontId="212" fillId="0" borderId="0" xfId="0" applyFont="1" applyAlignment="1">
      <alignment horizontal="right" vertical="center"/>
    </xf>
    <xf numFmtId="172" fontId="147" fillId="0" borderId="2" xfId="0" applyNumberFormat="1" applyFont="1" applyBorder="1" applyAlignment="1">
      <alignment horizontal="right" vertical="center"/>
    </xf>
    <xf numFmtId="172" fontId="147" fillId="0" borderId="0" xfId="0" applyNumberFormat="1" applyFont="1" applyAlignment="1">
      <alignment horizontal="right" vertical="center"/>
    </xf>
    <xf numFmtId="174" fontId="68" fillId="0" borderId="9" xfId="0" applyNumberFormat="1" applyFont="1" applyBorder="1" applyAlignment="1">
      <alignment horizontal="center" vertical="center" wrapText="1"/>
    </xf>
    <xf numFmtId="174" fontId="68" fillId="0" borderId="6" xfId="0" applyNumberFormat="1" applyFont="1" applyBorder="1" applyAlignment="1">
      <alignment horizontal="center" vertical="center" wrapText="1"/>
    </xf>
    <xf numFmtId="165" fontId="66" fillId="0" borderId="28" xfId="0" applyFont="1" applyBorder="1" applyAlignment="1">
      <alignment horizontal="center" vertical="center" wrapText="1"/>
    </xf>
    <xf numFmtId="167" fontId="45" fillId="0" borderId="0" xfId="0" applyNumberFormat="1" applyFont="1" applyAlignment="1">
      <alignment horizontal="center" vertical="center"/>
    </xf>
    <xf numFmtId="167" fontId="45" fillId="4" borderId="3" xfId="0" applyNumberFormat="1" applyFont="1" applyFill="1" applyBorder="1" applyAlignment="1">
      <alignment horizontal="center" vertical="center"/>
    </xf>
    <xf numFmtId="165" fontId="40" fillId="0" borderId="0" xfId="0" applyFont="1" applyAlignment="1">
      <alignment horizontal="center" vertical="center"/>
    </xf>
    <xf numFmtId="165" fontId="66" fillId="0" borderId="0" xfId="0" applyFont="1" applyAlignment="1">
      <alignment horizontal="left" vertical="center"/>
    </xf>
    <xf numFmtId="165" fontId="66" fillId="0" borderId="0" xfId="0" applyFont="1" applyAlignment="1">
      <alignment horizontal="center" vertical="center"/>
    </xf>
    <xf numFmtId="167" fontId="48" fillId="0" borderId="28" xfId="0" applyNumberFormat="1" applyFont="1" applyBorder="1" applyAlignment="1">
      <alignment horizontal="center"/>
    </xf>
    <xf numFmtId="165" fontId="140" fillId="0" borderId="0" xfId="0" applyFont="1" applyAlignment="1">
      <alignment horizontal="left" vertical="center"/>
    </xf>
    <xf numFmtId="165" fontId="44" fillId="20" borderId="11" xfId="0" quotePrefix="1" applyFont="1" applyFill="1" applyBorder="1" applyAlignment="1">
      <alignment horizontal="left" vertical="center" wrapText="1"/>
    </xf>
    <xf numFmtId="165" fontId="44" fillId="20" borderId="2" xfId="0" quotePrefix="1" applyFont="1" applyFill="1" applyBorder="1" applyAlignment="1">
      <alignment horizontal="left" vertical="center"/>
    </xf>
    <xf numFmtId="165" fontId="44" fillId="20" borderId="8" xfId="0" quotePrefix="1" applyFont="1" applyFill="1" applyBorder="1" applyAlignment="1">
      <alignment horizontal="left" vertical="center"/>
    </xf>
    <xf numFmtId="170" fontId="81" fillId="0" borderId="9" xfId="0" applyNumberFormat="1" applyFont="1" applyBorder="1" applyAlignment="1">
      <alignment vertical="center" wrapText="1"/>
    </xf>
    <xf numFmtId="170" fontId="81" fillId="0" borderId="0" xfId="0" applyNumberFormat="1" applyFont="1" applyAlignment="1">
      <alignment vertical="center"/>
    </xf>
    <xf numFmtId="165" fontId="106" fillId="20" borderId="1" xfId="0" applyFont="1" applyFill="1" applyBorder="1" applyAlignment="1">
      <alignment horizontal="left" vertical="center"/>
    </xf>
    <xf numFmtId="165" fontId="112" fillId="0" borderId="0" xfId="0" applyFont="1" applyAlignment="1">
      <alignment horizontal="left" vertical="center"/>
    </xf>
    <xf numFmtId="169" fontId="81" fillId="0" borderId="9" xfId="0" applyNumberFormat="1" applyFont="1" applyBorder="1" applyAlignment="1">
      <alignment horizontal="left" vertical="center"/>
    </xf>
    <xf numFmtId="169" fontId="81" fillId="0" borderId="0" xfId="0" applyNumberFormat="1" applyFont="1" applyAlignment="1">
      <alignment horizontal="left" vertical="center"/>
    </xf>
    <xf numFmtId="165" fontId="66" fillId="0" borderId="0" xfId="0" applyFont="1" applyAlignment="1">
      <alignment horizontal="center" vertical="top" wrapText="1"/>
    </xf>
    <xf numFmtId="14" fontId="81" fillId="0" borderId="2" xfId="0" applyNumberFormat="1" applyFont="1" applyBorder="1" applyAlignment="1">
      <alignment horizontal="left" vertical="top" wrapText="1"/>
    </xf>
    <xf numFmtId="14" fontId="81" fillId="0" borderId="0" xfId="0" applyNumberFormat="1" applyFont="1" applyAlignment="1">
      <alignment horizontal="left" vertical="top" wrapText="1"/>
    </xf>
    <xf numFmtId="170" fontId="81" fillId="0" borderId="2" xfId="0" applyNumberFormat="1" applyFont="1" applyBorder="1" applyAlignment="1">
      <alignment horizontal="center" vertical="top" wrapText="1"/>
    </xf>
    <xf numFmtId="170" fontId="81" fillId="0" borderId="0" xfId="0" applyNumberFormat="1" applyFont="1" applyAlignment="1">
      <alignment horizontal="center" vertical="top" wrapText="1"/>
    </xf>
    <xf numFmtId="170" fontId="81" fillId="0" borderId="0" xfId="0" applyNumberFormat="1" applyFont="1" applyAlignment="1">
      <alignment horizontal="left" vertical="top"/>
    </xf>
    <xf numFmtId="172" fontId="81" fillId="0" borderId="0" xfId="0" quotePrefix="1" applyNumberFormat="1" applyFont="1" applyAlignment="1">
      <alignment horizontal="left" vertical="top"/>
    </xf>
    <xf numFmtId="169" fontId="79" fillId="0" borderId="0" xfId="0" applyNumberFormat="1" applyFont="1" applyAlignment="1">
      <alignment horizontal="left" vertical="center"/>
    </xf>
    <xf numFmtId="171" fontId="138" fillId="18" borderId="0" xfId="1" applyNumberFormat="1" applyFont="1" applyFill="1" applyAlignment="1" applyProtection="1">
      <alignment horizontal="center" vertical="center" wrapText="1"/>
    </xf>
    <xf numFmtId="171" fontId="74" fillId="18" borderId="0" xfId="1" applyNumberFormat="1" applyFont="1" applyFill="1" applyAlignment="1" applyProtection="1">
      <alignment horizontal="center" vertical="center" wrapText="1"/>
    </xf>
    <xf numFmtId="167" fontId="81" fillId="0" borderId="0" xfId="0" applyNumberFormat="1" applyFont="1" applyAlignment="1">
      <alignment horizontal="left" vertical="top"/>
    </xf>
    <xf numFmtId="165" fontId="123" fillId="0" borderId="0" xfId="0" applyFont="1" applyAlignment="1">
      <alignment horizontal="left" vertical="top"/>
    </xf>
    <xf numFmtId="165" fontId="81" fillId="0" borderId="0" xfId="0" applyFont="1" applyAlignment="1">
      <alignment horizontal="left" vertical="top"/>
    </xf>
    <xf numFmtId="165" fontId="123" fillId="0" borderId="0" xfId="0" applyFont="1" applyAlignment="1">
      <alignment horizontal="right" vertical="center"/>
    </xf>
    <xf numFmtId="165" fontId="107" fillId="20" borderId="18" xfId="0" applyFont="1" applyFill="1" applyBorder="1" applyAlignment="1">
      <alignment horizontal="right" vertical="center"/>
    </xf>
    <xf numFmtId="165" fontId="107" fillId="20" borderId="17" xfId="0" applyFont="1" applyFill="1" applyBorder="1" applyAlignment="1">
      <alignment horizontal="right" vertical="center"/>
    </xf>
    <xf numFmtId="170" fontId="121" fillId="18" borderId="16" xfId="0" applyNumberFormat="1" applyFont="1" applyFill="1" applyBorder="1" applyAlignment="1">
      <alignment horizontal="center" vertical="center"/>
    </xf>
    <xf numFmtId="170" fontId="121" fillId="18" borderId="19" xfId="0" applyNumberFormat="1" applyFont="1" applyFill="1" applyBorder="1" applyAlignment="1">
      <alignment horizontal="center" vertical="center"/>
    </xf>
    <xf numFmtId="165" fontId="105" fillId="20" borderId="1" xfId="0" applyFont="1" applyFill="1" applyBorder="1" applyAlignment="1">
      <alignment horizontal="left" vertical="center"/>
    </xf>
    <xf numFmtId="165" fontId="16" fillId="0" borderId="0" xfId="0" applyFont="1" applyAlignment="1">
      <alignment horizontal="left" vertical="center"/>
    </xf>
    <xf numFmtId="14" fontId="81" fillId="0" borderId="0" xfId="0" applyNumberFormat="1" applyFont="1" applyAlignment="1">
      <alignment horizontal="left" wrapText="1"/>
    </xf>
    <xf numFmtId="169" fontId="79" fillId="0" borderId="0" xfId="0" applyNumberFormat="1" applyFont="1" applyAlignment="1">
      <alignment horizontal="left" vertical="top"/>
    </xf>
    <xf numFmtId="165" fontId="125" fillId="0" borderId="0" xfId="0" applyFont="1" applyAlignment="1">
      <alignment horizontal="left" vertical="center"/>
    </xf>
    <xf numFmtId="165" fontId="133" fillId="0" borderId="0" xfId="0" applyFont="1" applyAlignment="1">
      <alignment horizontal="left" vertical="center"/>
    </xf>
    <xf numFmtId="165" fontId="46" fillId="0" borderId="0" xfId="0" quotePrefix="1" applyFont="1" applyAlignment="1">
      <alignment horizontal="left" vertical="center"/>
    </xf>
    <xf numFmtId="165" fontId="46" fillId="0" borderId="0" xfId="0" applyFont="1" applyAlignment="1">
      <alignment horizontal="left" vertical="center"/>
    </xf>
    <xf numFmtId="165" fontId="46" fillId="0" borderId="0" xfId="0" quotePrefix="1" applyFont="1" applyAlignment="1">
      <alignment vertical="center"/>
    </xf>
    <xf numFmtId="165" fontId="46" fillId="0" borderId="0" xfId="0" applyFont="1" applyAlignment="1">
      <alignment vertical="center"/>
    </xf>
    <xf numFmtId="14" fontId="121" fillId="15" borderId="11" xfId="0" applyNumberFormat="1" applyFont="1" applyFill="1" applyBorder="1" applyAlignment="1">
      <alignment horizontal="left" vertical="center"/>
    </xf>
    <xf numFmtId="14" fontId="121" fillId="15" borderId="2" xfId="0" applyNumberFormat="1" applyFont="1" applyFill="1" applyBorder="1" applyAlignment="1">
      <alignment horizontal="left" vertical="center"/>
    </xf>
    <xf numFmtId="14" fontId="68" fillId="0" borderId="0" xfId="0" applyNumberFormat="1" applyFont="1" applyAlignment="1">
      <alignment horizontal="left" vertical="center" wrapText="1"/>
    </xf>
    <xf numFmtId="165" fontId="46" fillId="0" borderId="4" xfId="0" applyFont="1" applyBorder="1" applyAlignment="1">
      <alignment horizontal="left" vertical="center"/>
    </xf>
    <xf numFmtId="171" fontId="138" fillId="18" borderId="0" xfId="1" applyNumberFormat="1" applyFont="1" applyFill="1" applyBorder="1" applyAlignment="1" applyProtection="1">
      <alignment horizontal="center" vertical="center" wrapText="1"/>
    </xf>
    <xf numFmtId="171" fontId="138" fillId="18" borderId="6" xfId="1" applyNumberFormat="1" applyFont="1" applyFill="1" applyBorder="1" applyAlignment="1" applyProtection="1">
      <alignment horizontal="center" vertical="center" wrapText="1"/>
    </xf>
    <xf numFmtId="171" fontId="138" fillId="18" borderId="7" xfId="1" applyNumberFormat="1" applyFont="1" applyFill="1" applyBorder="1" applyAlignment="1" applyProtection="1">
      <alignment horizontal="center" vertical="center" wrapText="1"/>
    </xf>
    <xf numFmtId="171" fontId="138" fillId="18" borderId="23" xfId="1" applyNumberFormat="1" applyFont="1" applyFill="1" applyBorder="1" applyAlignment="1" applyProtection="1">
      <alignment horizontal="center" vertical="center" wrapText="1"/>
    </xf>
    <xf numFmtId="167" fontId="81" fillId="0" borderId="2" xfId="0" applyNumberFormat="1" applyFont="1" applyBorder="1" applyAlignment="1">
      <alignment horizontal="left" vertical="top"/>
    </xf>
    <xf numFmtId="14" fontId="124" fillId="15" borderId="0" xfId="0" applyNumberFormat="1" applyFont="1" applyFill="1" applyAlignment="1">
      <alignment horizontal="center" vertical="top"/>
    </xf>
    <xf numFmtId="14" fontId="38" fillId="15" borderId="6" xfId="0" applyNumberFormat="1" applyFont="1" applyFill="1" applyBorder="1" applyAlignment="1">
      <alignment horizontal="center" vertical="top"/>
    </xf>
    <xf numFmtId="14" fontId="121" fillId="15" borderId="3" xfId="0" applyNumberFormat="1" applyFont="1" applyFill="1" applyBorder="1" applyAlignment="1">
      <alignment horizontal="center" vertical="center"/>
    </xf>
    <xf numFmtId="14" fontId="121" fillId="15" borderId="5" xfId="0" applyNumberFormat="1" applyFont="1" applyFill="1" applyBorder="1" applyAlignment="1">
      <alignment horizontal="center" vertical="center"/>
    </xf>
    <xf numFmtId="165" fontId="40" fillId="15" borderId="0" xfId="0" applyFont="1" applyFill="1" applyAlignment="1">
      <alignment horizontal="center" vertical="top"/>
    </xf>
    <xf numFmtId="14" fontId="121" fillId="15" borderId="9" xfId="0" applyNumberFormat="1" applyFont="1" applyFill="1" applyBorder="1" applyAlignment="1">
      <alignment horizontal="left" vertical="top"/>
    </xf>
    <xf numFmtId="14" fontId="121" fillId="15" borderId="0" xfId="0" applyNumberFormat="1" applyFont="1" applyFill="1" applyAlignment="1">
      <alignment horizontal="left" vertical="top"/>
    </xf>
    <xf numFmtId="165" fontId="46" fillId="0" borderId="4" xfId="0" applyFont="1" applyBorder="1" applyAlignment="1">
      <alignment horizontal="left"/>
    </xf>
    <xf numFmtId="165" fontId="62" fillId="16" borderId="11" xfId="0" applyFont="1" applyFill="1" applyBorder="1" applyAlignment="1">
      <alignment horizontal="center" vertical="center" wrapText="1"/>
    </xf>
    <xf numFmtId="165" fontId="62" fillId="16" borderId="2" xfId="0" applyFont="1" applyFill="1" applyBorder="1" applyAlignment="1">
      <alignment horizontal="center" vertical="center" wrapText="1"/>
    </xf>
    <xf numFmtId="165" fontId="62" fillId="16" borderId="27" xfId="0" applyFont="1" applyFill="1" applyBorder="1" applyAlignment="1">
      <alignment horizontal="center" vertical="center" wrapText="1"/>
    </xf>
    <xf numFmtId="165" fontId="62" fillId="16" borderId="12" xfId="0" applyFont="1" applyFill="1" applyBorder="1" applyAlignment="1">
      <alignment horizontal="center" vertical="center" wrapText="1"/>
    </xf>
    <xf numFmtId="165" fontId="62" fillId="16" borderId="28" xfId="0" applyFont="1" applyFill="1" applyBorder="1" applyAlignment="1">
      <alignment horizontal="center" vertical="center" wrapText="1"/>
    </xf>
    <xf numFmtId="165" fontId="62" fillId="16" borderId="29" xfId="0" applyFont="1" applyFill="1" applyBorder="1" applyAlignment="1">
      <alignment horizontal="center" vertical="center" wrapText="1"/>
    </xf>
    <xf numFmtId="165" fontId="140" fillId="0" borderId="31" xfId="0" applyFont="1" applyBorder="1" applyAlignment="1">
      <alignment horizontal="left" vertical="center"/>
    </xf>
    <xf numFmtId="165" fontId="68" fillId="0" borderId="31" xfId="0" applyFont="1" applyBorder="1" applyAlignment="1">
      <alignment horizontal="right" vertical="center"/>
    </xf>
    <xf numFmtId="170" fontId="206" fillId="9" borderId="11" xfId="3" applyNumberFormat="1" applyFont="1" applyFill="1" applyBorder="1" applyAlignment="1" applyProtection="1">
      <alignment horizontal="center" vertical="center" wrapText="1"/>
    </xf>
    <xf numFmtId="170" fontId="45" fillId="9" borderId="27" xfId="3" applyNumberFormat="1" applyFont="1" applyFill="1" applyBorder="1" applyAlignment="1" applyProtection="1">
      <alignment horizontal="center" vertical="center" wrapText="1"/>
    </xf>
    <xf numFmtId="170" fontId="45" fillId="9" borderId="12" xfId="3" applyNumberFormat="1" applyFont="1" applyFill="1" applyBorder="1" applyAlignment="1" applyProtection="1">
      <alignment horizontal="center" vertical="center" wrapText="1"/>
    </xf>
    <xf numFmtId="170" fontId="45" fillId="9" borderId="29" xfId="3" applyNumberFormat="1" applyFont="1" applyFill="1" applyBorder="1" applyAlignment="1" applyProtection="1">
      <alignment horizontal="center" vertical="center" wrapText="1"/>
    </xf>
    <xf numFmtId="167" fontId="111" fillId="19" borderId="28" xfId="0" applyNumberFormat="1" applyFont="1" applyFill="1" applyBorder="1" applyAlignment="1">
      <alignment horizontal="center"/>
    </xf>
    <xf numFmtId="177" fontId="81" fillId="19" borderId="0" xfId="0" applyNumberFormat="1" applyFont="1" applyFill="1" applyAlignment="1">
      <alignment horizontal="left"/>
    </xf>
    <xf numFmtId="177" fontId="212" fillId="19" borderId="9" xfId="0" applyNumberFormat="1" applyFont="1" applyFill="1" applyBorder="1" applyAlignment="1">
      <alignment horizontal="left" vertical="center"/>
    </xf>
    <xf numFmtId="177" fontId="212" fillId="19" borderId="0" xfId="0" applyNumberFormat="1" applyFont="1" applyFill="1" applyAlignment="1">
      <alignment horizontal="left" vertical="center"/>
    </xf>
    <xf numFmtId="170" fontId="125" fillId="9" borderId="11" xfId="3" applyNumberFormat="1" applyFont="1" applyFill="1" applyBorder="1" applyAlignment="1" applyProtection="1">
      <alignment horizontal="center" vertical="top" wrapText="1"/>
    </xf>
    <xf numFmtId="170" fontId="125" fillId="9" borderId="2" xfId="3" applyNumberFormat="1" applyFont="1" applyFill="1" applyBorder="1" applyAlignment="1" applyProtection="1">
      <alignment horizontal="center" vertical="top" wrapText="1"/>
    </xf>
    <xf numFmtId="170" fontId="125" fillId="9" borderId="27" xfId="3" applyNumberFormat="1" applyFont="1" applyFill="1" applyBorder="1" applyAlignment="1" applyProtection="1">
      <alignment horizontal="center" vertical="top" wrapText="1"/>
    </xf>
    <xf numFmtId="170" fontId="125" fillId="9" borderId="12" xfId="3" applyNumberFormat="1" applyFont="1" applyFill="1" applyBorder="1" applyAlignment="1" applyProtection="1">
      <alignment horizontal="center" wrapText="1"/>
    </xf>
    <xf numFmtId="170" fontId="125" fillId="9" borderId="28" xfId="3" applyNumberFormat="1" applyFont="1" applyFill="1" applyBorder="1" applyAlignment="1" applyProtection="1">
      <alignment horizontal="center" wrapText="1"/>
    </xf>
    <xf numFmtId="170" fontId="125" fillId="9" borderId="29" xfId="3" applyNumberFormat="1" applyFont="1" applyFill="1" applyBorder="1" applyAlignment="1" applyProtection="1">
      <alignment horizontal="center" wrapText="1"/>
    </xf>
    <xf numFmtId="170" fontId="68" fillId="9" borderId="11" xfId="3" applyNumberFormat="1" applyFont="1" applyFill="1" applyBorder="1" applyAlignment="1" applyProtection="1">
      <alignment horizontal="left" vertical="center" wrapText="1"/>
    </xf>
    <xf numFmtId="170" fontId="68" fillId="9" borderId="2" xfId="3" applyNumberFormat="1" applyFont="1" applyFill="1" applyBorder="1" applyAlignment="1" applyProtection="1">
      <alignment horizontal="left" vertical="center" wrapText="1"/>
    </xf>
    <xf numFmtId="170" fontId="68" fillId="9" borderId="27" xfId="3" applyNumberFormat="1" applyFont="1" applyFill="1" applyBorder="1" applyAlignment="1" applyProtection="1">
      <alignment horizontal="left" vertical="center" wrapText="1"/>
    </xf>
    <xf numFmtId="170" fontId="68" fillId="9" borderId="12" xfId="3" applyNumberFormat="1" applyFont="1" applyFill="1" applyBorder="1" applyAlignment="1" applyProtection="1">
      <alignment horizontal="left" vertical="center" wrapText="1"/>
    </xf>
    <xf numFmtId="170" fontId="68" fillId="9" borderId="28" xfId="3" applyNumberFormat="1" applyFont="1" applyFill="1" applyBorder="1" applyAlignment="1" applyProtection="1">
      <alignment horizontal="left" vertical="center" wrapText="1"/>
    </xf>
    <xf numFmtId="170" fontId="68" fillId="9" borderId="29" xfId="3" applyNumberFormat="1" applyFont="1" applyFill="1" applyBorder="1" applyAlignment="1" applyProtection="1">
      <alignment horizontal="left" vertical="center" wrapText="1"/>
    </xf>
  </cellXfs>
  <cellStyles count="4">
    <cellStyle name="Gut" xfId="2" builtinId="26"/>
    <cellStyle name="Prozent" xfId="1" builtinId="5"/>
    <cellStyle name="Standard" xfId="0" builtinId="0"/>
    <cellStyle name="Währung" xfId="3" builtinId="4"/>
  </cellStyles>
  <dxfs count="128">
    <dxf>
      <font>
        <b/>
        <i val="0"/>
        <color rgb="FFC00000"/>
      </font>
      <fill>
        <patternFill>
          <bgColor rgb="FFC00000"/>
        </patternFill>
      </fill>
    </dxf>
    <dxf>
      <font>
        <b/>
        <i val="0"/>
        <color rgb="FFC00000"/>
      </font>
      <fill>
        <patternFill>
          <bgColor rgb="FFC00000"/>
        </patternFill>
      </fill>
    </dxf>
    <dxf>
      <font>
        <b/>
        <i val="0"/>
        <color rgb="FF006666"/>
      </font>
      <fill>
        <patternFill>
          <bgColor theme="0" tint="-0.14996795556505021"/>
        </patternFill>
      </fill>
    </dxf>
    <dxf>
      <font>
        <b/>
        <i val="0"/>
        <color rgb="FFC00000"/>
      </font>
      <fill>
        <patternFill>
          <bgColor theme="5" tint="0.59996337778862885"/>
        </patternFill>
      </fill>
    </dxf>
    <dxf>
      <font>
        <b/>
        <i val="0"/>
        <color rgb="FFC00000"/>
      </font>
      <fill>
        <patternFill>
          <bgColor theme="0" tint="-0.14996795556505021"/>
        </patternFill>
      </fill>
    </dxf>
    <dxf>
      <font>
        <b/>
        <i val="0"/>
        <color rgb="FFC00000"/>
      </font>
      <fill>
        <patternFill>
          <bgColor theme="5" tint="0.59996337778862885"/>
        </patternFill>
      </fill>
    </dxf>
    <dxf>
      <font>
        <b/>
        <i val="0"/>
        <color rgb="FFC00000"/>
      </font>
      <fill>
        <patternFill>
          <bgColor theme="5" tint="0.59996337778862885"/>
        </patternFill>
      </fill>
    </dxf>
    <dxf>
      <font>
        <b/>
        <i val="0"/>
        <color theme="0"/>
      </font>
      <fill>
        <patternFill>
          <bgColor theme="0"/>
        </patternFill>
      </fill>
    </dxf>
    <dxf>
      <font>
        <b/>
        <i val="0"/>
        <color theme="0" tint="-0.14996795556505021"/>
      </font>
      <fill>
        <patternFill>
          <bgColor theme="0" tint="-0.14996795556505021"/>
        </patternFill>
      </fill>
    </dxf>
    <dxf>
      <font>
        <b/>
        <i val="0"/>
        <color theme="0" tint="-0.499984740745262"/>
      </font>
    </dxf>
    <dxf>
      <font>
        <b/>
        <i val="0"/>
        <color theme="9" tint="-0.499984740745262"/>
      </font>
    </dxf>
    <dxf>
      <font>
        <b/>
        <i val="0"/>
        <color rgb="FFC00000"/>
      </font>
      <fill>
        <patternFill>
          <bgColor theme="9"/>
        </patternFill>
      </fill>
    </dxf>
    <dxf>
      <font>
        <b/>
        <i val="0"/>
        <color theme="0"/>
      </font>
      <fill>
        <patternFill>
          <bgColor theme="0"/>
        </patternFill>
      </fill>
    </dxf>
    <dxf>
      <font>
        <b/>
        <i val="0"/>
        <color theme="0" tint="-0.499984740745262"/>
      </font>
    </dxf>
    <dxf>
      <font>
        <b/>
        <i val="0"/>
        <color theme="0"/>
      </font>
      <fill>
        <patternFill>
          <bgColor theme="0"/>
        </patternFill>
      </fill>
    </dxf>
    <dxf>
      <font>
        <b/>
        <i val="0"/>
        <color theme="0"/>
      </font>
      <fill>
        <patternFill>
          <bgColor theme="0"/>
        </patternFill>
      </fill>
    </dxf>
    <dxf>
      <font>
        <b/>
        <i val="0"/>
        <color theme="0"/>
      </font>
      <fill>
        <patternFill>
          <bgColor theme="0"/>
        </patternFill>
      </fill>
      <border>
        <left/>
        <right/>
        <top/>
        <bottom/>
        <vertical/>
        <horizontal/>
      </border>
    </dxf>
    <dxf>
      <font>
        <b/>
        <i val="0"/>
        <color theme="0"/>
      </font>
    </dxf>
    <dxf>
      <font>
        <b/>
        <i val="0"/>
        <color rgb="FFFFFF00"/>
      </font>
      <fill>
        <patternFill>
          <bgColor rgb="FFC00000"/>
        </patternFill>
      </fill>
    </dxf>
    <dxf>
      <font>
        <b/>
        <i val="0"/>
        <color rgb="FFC00000"/>
      </font>
      <fill>
        <patternFill>
          <bgColor theme="5" tint="0.59996337778862885"/>
        </patternFill>
      </fill>
    </dxf>
    <dxf>
      <font>
        <b/>
        <i val="0"/>
        <color theme="0" tint="-0.499984740745262"/>
      </font>
      <fill>
        <patternFill>
          <bgColor theme="0" tint="-0.14996795556505021"/>
        </patternFill>
      </fill>
    </dxf>
    <dxf>
      <font>
        <b/>
        <i val="0"/>
        <color rgb="FFC00000"/>
      </font>
    </dxf>
    <dxf>
      <font>
        <b/>
        <i val="0"/>
        <color theme="0"/>
      </font>
      <fill>
        <patternFill>
          <bgColor theme="0"/>
        </patternFill>
      </fill>
      <border>
        <left/>
        <right/>
        <top/>
        <bottom/>
      </border>
    </dxf>
    <dxf>
      <font>
        <b/>
        <i val="0"/>
        <color theme="0"/>
      </font>
      <fill>
        <patternFill>
          <bgColor theme="0"/>
        </patternFill>
      </fill>
    </dxf>
    <dxf>
      <font>
        <b/>
        <i val="0"/>
        <color theme="0"/>
      </font>
      <border>
        <left/>
        <right/>
        <top/>
        <bottom/>
      </border>
    </dxf>
    <dxf>
      <font>
        <b/>
        <i val="0"/>
        <color theme="6" tint="0.59996337778862885"/>
      </font>
    </dxf>
    <dxf>
      <font>
        <b/>
        <i val="0"/>
        <color theme="6" tint="0.59996337778862885"/>
      </font>
    </dxf>
    <dxf>
      <font>
        <b/>
        <i val="0"/>
        <color theme="0"/>
      </font>
      <fill>
        <patternFill>
          <bgColor theme="0"/>
        </patternFill>
      </fill>
    </dxf>
    <dxf>
      <font>
        <b/>
        <i val="0"/>
        <color rgb="FFC00000"/>
      </font>
      <fill>
        <patternFill>
          <bgColor rgb="FFC00000"/>
        </patternFill>
      </fill>
    </dxf>
    <dxf>
      <font>
        <b/>
        <i val="0"/>
        <color rgb="FFC00000"/>
      </font>
      <fill>
        <patternFill>
          <bgColor theme="0" tint="-0.14996795556505021"/>
        </patternFill>
      </fill>
    </dxf>
    <dxf>
      <font>
        <b/>
        <i val="0"/>
        <color rgb="FF006666"/>
      </font>
      <fill>
        <patternFill>
          <bgColor theme="0" tint="-0.14996795556505021"/>
        </patternFill>
      </fill>
    </dxf>
    <dxf>
      <font>
        <b/>
        <i val="0"/>
        <color rgb="FFC00000"/>
      </font>
    </dxf>
    <dxf>
      <font>
        <b/>
        <i val="0"/>
        <color theme="8" tint="0.79998168889431442"/>
      </font>
      <fill>
        <patternFill>
          <bgColor theme="8" tint="0.79998168889431442"/>
        </patternFill>
      </fill>
    </dxf>
    <dxf>
      <font>
        <b/>
        <i val="0"/>
        <color theme="0"/>
      </font>
      <fill>
        <patternFill>
          <bgColor rgb="FFC00000"/>
        </patternFill>
      </fill>
      <border>
        <right style="thin">
          <color auto="1"/>
        </right>
        <top style="thin">
          <color auto="1"/>
        </top>
        <bottom style="thin">
          <color auto="1"/>
        </bottom>
      </border>
    </dxf>
    <dxf>
      <font>
        <b/>
        <i val="0"/>
        <color rgb="FFFFFF00"/>
      </font>
      <fill>
        <patternFill>
          <bgColor rgb="FFC00000"/>
        </patternFill>
      </fill>
    </dxf>
    <dxf>
      <font>
        <b/>
        <i val="0"/>
        <color rgb="FFFFFF00"/>
      </font>
      <fill>
        <patternFill>
          <bgColor rgb="FFC00000"/>
        </patternFill>
      </fill>
    </dxf>
    <dxf>
      <font>
        <b/>
        <i val="0"/>
        <color theme="8" tint="0.79998168889431442"/>
      </font>
    </dxf>
    <dxf>
      <font>
        <b/>
        <i val="0"/>
        <color theme="0" tint="-0.14996795556505021"/>
      </font>
      <fill>
        <patternFill>
          <bgColor theme="0" tint="-0.14996795556505021"/>
        </patternFill>
      </fill>
    </dxf>
    <dxf>
      <font>
        <b/>
        <i val="0"/>
        <color rgb="FFFFFF66"/>
      </font>
      <fill>
        <patternFill>
          <bgColor rgb="FF215967"/>
        </patternFill>
      </fill>
    </dxf>
    <dxf>
      <font>
        <b/>
        <i val="0"/>
        <color theme="9" tint="-0.499984740745262"/>
      </font>
      <fill>
        <patternFill>
          <bgColor theme="8" tint="0.39994506668294322"/>
        </patternFill>
      </fill>
    </dxf>
    <dxf>
      <font>
        <b/>
        <i val="0"/>
        <color theme="9" tint="-0.499984740745262"/>
      </font>
    </dxf>
    <dxf>
      <font>
        <b/>
        <i val="0"/>
        <color theme="0" tint="-4.9989318521683403E-2"/>
      </font>
      <fill>
        <patternFill>
          <bgColor theme="0" tint="-4.9989318521683403E-2"/>
        </patternFill>
      </fill>
    </dxf>
    <dxf>
      <font>
        <b/>
        <i val="0"/>
        <color theme="0" tint="-0.499984740745262"/>
      </font>
    </dxf>
    <dxf>
      <font>
        <b/>
        <i val="0"/>
        <color theme="0" tint="-0.499984740745262"/>
      </font>
      <fill>
        <patternFill>
          <bgColor theme="0" tint="-0.14996795556505021"/>
        </patternFill>
      </fill>
    </dxf>
    <dxf>
      <font>
        <b/>
        <i val="0"/>
        <color rgb="FFFFFF00"/>
      </font>
      <fill>
        <patternFill>
          <bgColor rgb="FFC00000"/>
        </patternFill>
      </fill>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color rgb="FFC00000"/>
      </font>
    </dxf>
    <dxf>
      <font>
        <b/>
        <i val="0"/>
        <color theme="8" tint="0.59996337778862885"/>
      </font>
    </dxf>
    <dxf>
      <font>
        <b/>
        <i val="0"/>
        <color theme="0" tint="-0.24994659260841701"/>
      </font>
    </dxf>
    <dxf>
      <font>
        <b/>
        <i val="0"/>
        <color rgb="FFFFFF00"/>
      </font>
      <fill>
        <patternFill>
          <bgColor rgb="FFC00000"/>
        </patternFill>
      </fill>
      <border>
        <left style="thin">
          <color auto="1"/>
        </left>
        <right/>
        <top style="thin">
          <color auto="1"/>
        </top>
        <bottom style="thin">
          <color auto="1"/>
        </bottom>
        <vertical/>
        <horizontal/>
      </border>
    </dxf>
    <dxf>
      <font>
        <b/>
        <i val="0"/>
        <color theme="9" tint="-0.499984740745262"/>
      </font>
    </dxf>
    <dxf>
      <font>
        <b/>
        <i val="0"/>
        <color rgb="FFC00000"/>
      </font>
    </dxf>
    <dxf>
      <font>
        <b/>
        <i val="0"/>
        <color theme="8" tint="0.39994506668294322"/>
      </font>
    </dxf>
    <dxf>
      <font>
        <b/>
        <i val="0"/>
        <color theme="9" tint="0.79998168889431442"/>
      </font>
    </dxf>
    <dxf>
      <font>
        <b/>
        <i val="0"/>
        <color theme="7" tint="0.59996337778862885"/>
      </font>
    </dxf>
    <dxf>
      <font>
        <b/>
        <i val="0"/>
        <color theme="0"/>
      </font>
    </dxf>
    <dxf>
      <font>
        <b/>
        <i val="0"/>
        <color theme="6" tint="0.59996337778862885"/>
      </font>
    </dxf>
    <dxf>
      <font>
        <b/>
        <i val="0"/>
        <color theme="0" tint="-0.499984740745262"/>
      </font>
      <fill>
        <patternFill>
          <bgColor theme="0" tint="-0.14996795556505021"/>
        </patternFill>
      </fill>
    </dxf>
    <dxf>
      <font>
        <b/>
        <i val="0"/>
        <color rgb="FFC00000"/>
      </font>
      <fill>
        <patternFill>
          <bgColor theme="9"/>
        </patternFill>
      </fill>
    </dxf>
    <dxf>
      <font>
        <b/>
        <i val="0"/>
        <color theme="0"/>
      </font>
      <fill>
        <patternFill>
          <bgColor theme="0"/>
        </patternFill>
      </fill>
    </dxf>
    <dxf>
      <font>
        <b/>
        <i val="0"/>
        <color theme="0"/>
      </font>
      <fill>
        <patternFill>
          <bgColor theme="0"/>
        </patternFill>
      </fill>
    </dxf>
    <dxf>
      <font>
        <b/>
        <i val="0"/>
        <color rgb="FFFFFF00"/>
      </font>
      <fill>
        <patternFill>
          <bgColor rgb="FFC00000"/>
        </patternFill>
      </fill>
    </dxf>
    <dxf>
      <font>
        <b/>
        <i val="0"/>
        <color rgb="FFC00000"/>
      </font>
      <fill>
        <patternFill>
          <bgColor rgb="FFC00000"/>
        </patternFill>
      </fill>
    </dxf>
    <dxf>
      <font>
        <b/>
        <i val="0"/>
        <color theme="0"/>
      </font>
    </dxf>
    <dxf>
      <font>
        <b/>
        <i val="0"/>
        <color rgb="FFFFFF00"/>
      </font>
      <fill>
        <patternFill>
          <bgColor rgb="FFC00000"/>
        </patternFill>
      </fill>
    </dxf>
    <dxf>
      <font>
        <b/>
        <i val="0"/>
        <color theme="0"/>
      </font>
      <fill>
        <patternFill>
          <bgColor theme="0"/>
        </patternFill>
      </fill>
      <border>
        <left/>
        <right/>
        <top/>
        <bottom/>
        <vertical/>
        <horizontal/>
      </border>
    </dxf>
    <dxf>
      <font>
        <b/>
        <i val="0"/>
        <color theme="0"/>
      </font>
    </dxf>
    <dxf>
      <font>
        <b/>
        <i val="0"/>
        <color rgb="FFC00000"/>
      </font>
    </dxf>
    <dxf>
      <font>
        <b/>
        <i val="0"/>
        <color rgb="FFFFFF00"/>
      </font>
      <fill>
        <patternFill>
          <bgColor rgb="FFC00000"/>
        </patternFill>
      </fill>
    </dxf>
    <dxf>
      <font>
        <b/>
        <i val="0"/>
        <color rgb="FFFFFF00"/>
      </font>
      <fill>
        <patternFill>
          <bgColor rgb="FFC00000"/>
        </patternFill>
      </fill>
    </dxf>
    <dxf>
      <font>
        <b/>
        <i val="0"/>
        <color theme="0" tint="-0.24994659260841701"/>
      </font>
    </dxf>
    <dxf>
      <font>
        <b val="0"/>
        <i val="0"/>
        <color rgb="FF002060"/>
      </font>
      <fill>
        <patternFill>
          <bgColor theme="8" tint="0.79998168889431442"/>
        </patternFill>
      </fill>
    </dxf>
    <dxf>
      <font>
        <b/>
        <i val="0"/>
        <color rgb="FFFFFF00"/>
      </font>
      <fill>
        <patternFill>
          <bgColor rgb="FFC00000"/>
        </patternFill>
      </fill>
    </dxf>
    <dxf>
      <font>
        <b/>
        <i val="0"/>
        <color theme="0" tint="-0.499984740745262"/>
      </font>
      <fill>
        <patternFill>
          <bgColor theme="0" tint="-0.14996795556505021"/>
        </patternFill>
      </fill>
    </dxf>
    <dxf>
      <font>
        <b/>
        <i val="0"/>
        <color theme="0"/>
      </font>
      <fill>
        <patternFill>
          <bgColor theme="0"/>
        </patternFill>
      </fill>
    </dxf>
    <dxf>
      <font>
        <b/>
        <i val="0"/>
        <color rgb="FFC00000"/>
      </font>
      <fill>
        <patternFill>
          <bgColor theme="9"/>
        </patternFill>
      </fill>
    </dxf>
    <dxf>
      <font>
        <b/>
        <i val="0"/>
        <color theme="0" tint="-0.499984740745262"/>
      </font>
      <fill>
        <patternFill>
          <bgColor theme="0" tint="-0.14996795556505021"/>
        </patternFill>
      </fill>
    </dxf>
    <dxf>
      <font>
        <b/>
        <i val="0"/>
        <color theme="0"/>
      </font>
      <fill>
        <patternFill>
          <bgColor theme="0"/>
        </patternFill>
      </fill>
    </dxf>
    <dxf>
      <font>
        <b/>
        <i val="0"/>
        <color theme="0"/>
      </font>
      <fill>
        <patternFill>
          <bgColor theme="0"/>
        </patternFill>
      </fill>
      <border>
        <left/>
        <right/>
        <top/>
        <bottom/>
        <vertical/>
        <horizontal/>
      </border>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color theme="0"/>
      </font>
      <border>
        <left/>
        <right/>
        <top/>
        <bottom/>
      </border>
    </dxf>
    <dxf>
      <font>
        <b/>
        <i val="0"/>
        <color rgb="FFC00000"/>
      </font>
      <fill>
        <patternFill>
          <bgColor rgb="FFC00000"/>
        </patternFill>
      </fill>
      <border>
        <left/>
        <right/>
        <top/>
        <bottom/>
      </border>
    </dxf>
    <dxf>
      <font>
        <b/>
        <i val="0"/>
        <color rgb="FFC00000"/>
      </font>
      <fill>
        <patternFill>
          <bgColor rgb="FFC00000"/>
        </patternFill>
      </fill>
    </dxf>
    <dxf>
      <font>
        <b/>
        <i val="0"/>
        <color theme="0"/>
      </font>
      <fill>
        <patternFill>
          <bgColor theme="0"/>
        </patternFill>
      </fill>
      <border>
        <left/>
        <right/>
        <top/>
        <bottom/>
        <vertical/>
        <horizontal/>
      </border>
    </dxf>
    <dxf>
      <font>
        <b/>
        <i val="0"/>
        <color rgb="FFFFFF66"/>
      </font>
      <fill>
        <patternFill>
          <bgColor theme="8" tint="-0.499984740745262"/>
        </patternFill>
      </fill>
      <border>
        <left style="thin">
          <color auto="1"/>
        </left>
        <right style="thin">
          <color auto="1"/>
        </right>
        <top style="thin">
          <color auto="1"/>
        </top>
        <bottom style="thin">
          <color auto="1"/>
        </bottom>
      </border>
    </dxf>
    <dxf>
      <font>
        <b/>
        <i val="0"/>
        <color theme="0"/>
      </font>
      <fill>
        <patternFill>
          <bgColor theme="0"/>
        </patternFill>
      </fill>
      <border>
        <left/>
        <right/>
        <top/>
        <bottom/>
        <vertical/>
        <horizontal/>
      </border>
    </dxf>
    <dxf>
      <font>
        <b/>
        <i val="0"/>
        <color rgb="FFC00000"/>
      </font>
      <fill>
        <patternFill>
          <bgColor rgb="FFFFCCCC"/>
        </patternFill>
      </fill>
    </dxf>
    <dxf>
      <font>
        <b/>
        <i val="0"/>
        <color rgb="FFC00000"/>
      </font>
      <fill>
        <patternFill>
          <bgColor rgb="FFFFFFCC"/>
        </patternFill>
      </fill>
      <border>
        <left style="thin">
          <color auto="1"/>
        </left>
        <right style="thin">
          <color auto="1"/>
        </right>
        <top style="thin">
          <color auto="1"/>
        </top>
        <bottom style="thin">
          <color auto="1"/>
        </bottom>
        <vertical/>
        <horizontal/>
      </border>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font>
      <fill>
        <patternFill>
          <bgColor rgb="FFC00000"/>
        </patternFill>
      </fill>
    </dxf>
    <dxf>
      <font>
        <b/>
        <i val="0"/>
        <color theme="0" tint="-0.24994659260841701"/>
      </font>
      <fill>
        <patternFill>
          <bgColor theme="0" tint="-0.24994659260841701"/>
        </patternFill>
      </fill>
    </dxf>
    <dxf>
      <font>
        <b/>
        <i val="0"/>
        <color theme="0" tint="-0.24994659260841701"/>
      </font>
      <fill>
        <patternFill>
          <bgColor theme="0" tint="-0.24994659260841701"/>
        </patternFill>
      </fill>
    </dxf>
    <dxf>
      <font>
        <b/>
        <i val="0"/>
        <color rgb="FFFFFF00"/>
      </font>
      <fill>
        <patternFill>
          <bgColor rgb="FFC00000"/>
        </patternFill>
      </fill>
    </dxf>
    <dxf>
      <font>
        <b/>
        <i val="0"/>
        <color rgb="FF002060"/>
      </font>
      <fill>
        <patternFill>
          <bgColor rgb="FFFFFFCC"/>
        </patternFill>
      </fill>
    </dxf>
    <dxf>
      <font>
        <b/>
        <i val="0"/>
        <color theme="0"/>
      </font>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color theme="9" tint="-0.499984740745262"/>
      </font>
    </dxf>
    <dxf>
      <font>
        <b/>
        <i val="0"/>
        <color theme="0"/>
      </font>
      <fill>
        <patternFill>
          <bgColor theme="0"/>
        </patternFill>
      </fill>
      <border>
        <left/>
        <right/>
        <top/>
        <bottom/>
        <vertical/>
        <horizontal/>
      </border>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color theme="0"/>
      </font>
      <fill>
        <patternFill>
          <bgColor theme="0"/>
        </patternFill>
      </fill>
      <border>
        <left/>
        <right/>
        <top/>
        <bottom/>
        <vertical/>
        <horizontal/>
      </border>
    </dxf>
    <dxf>
      <font>
        <b/>
        <i val="0"/>
        <color theme="0"/>
      </font>
      <fill>
        <patternFill>
          <bgColor theme="0"/>
        </patternFill>
      </fill>
      <border>
        <left/>
        <right/>
        <top/>
        <bottom/>
      </border>
    </dxf>
    <dxf>
      <font>
        <b/>
        <i val="0"/>
        <color rgb="FFFFFF00"/>
      </font>
      <fill>
        <patternFill>
          <bgColor rgb="FFC00000"/>
        </patternFill>
      </fill>
    </dxf>
    <dxf>
      <font>
        <b/>
        <i val="0"/>
        <color rgb="FFFFFF66"/>
      </font>
      <fill>
        <patternFill>
          <bgColor rgb="FFC00000"/>
        </patternFill>
      </fill>
    </dxf>
    <dxf>
      <font>
        <b/>
        <i val="0"/>
        <color rgb="FFFFFF00"/>
      </font>
      <fill>
        <patternFill>
          <bgColor rgb="FFC00000"/>
        </patternFill>
      </fill>
      <border>
        <left style="thin">
          <color auto="1"/>
        </left>
        <right style="thin">
          <color auto="1"/>
        </right>
        <top style="thin">
          <color auto="1"/>
        </top>
        <bottom style="thin">
          <color auto="1"/>
        </bottom>
        <vertical/>
        <horizontal/>
      </border>
    </dxf>
    <dxf>
      <font>
        <b/>
        <i val="0"/>
      </font>
      <fill>
        <patternFill>
          <bgColor rgb="FFC00000"/>
        </patternFill>
      </fill>
    </dxf>
    <dxf>
      <font>
        <b/>
        <i val="0"/>
        <color rgb="FF006666"/>
      </font>
    </dxf>
    <dxf>
      <font>
        <b/>
        <i val="0"/>
        <color rgb="FFFFFF00"/>
      </font>
      <fill>
        <patternFill>
          <bgColor rgb="FFC00000"/>
        </patternFill>
      </fill>
    </dxf>
    <dxf>
      <font>
        <b/>
        <i val="0"/>
        <color theme="2" tint="-0.24994659260841701"/>
      </font>
    </dxf>
    <dxf>
      <font>
        <b/>
        <i val="0"/>
        <color rgb="FFC00000"/>
      </font>
    </dxf>
    <dxf>
      <font>
        <b/>
        <i val="0"/>
        <color theme="9" tint="-0.499984740745262"/>
      </font>
    </dxf>
    <dxf>
      <font>
        <b/>
        <i val="0"/>
        <color theme="0" tint="-0.499984740745262"/>
      </font>
      <fill>
        <patternFill>
          <bgColor rgb="FFFFFFCC"/>
        </patternFill>
      </fill>
    </dxf>
    <dxf>
      <font>
        <b/>
        <i val="0"/>
        <color rgb="FF002060"/>
      </font>
      <fill>
        <patternFill>
          <bgColor theme="8" tint="0.79998168889431442"/>
        </patternFill>
      </fill>
    </dxf>
    <dxf>
      <font>
        <b/>
        <i val="0"/>
        <color theme="0"/>
      </font>
      <fill>
        <patternFill>
          <bgColor theme="0"/>
        </patternFill>
      </fill>
    </dxf>
    <dxf>
      <font>
        <b/>
        <i val="0"/>
        <color rgb="FFFFFF00"/>
      </font>
      <fill>
        <patternFill>
          <bgColor rgb="FFC00000"/>
        </patternFill>
      </fill>
      <border>
        <left/>
        <right/>
        <top/>
        <bottom/>
      </border>
    </dxf>
    <dxf>
      <font>
        <b/>
        <i val="0"/>
        <color rgb="FFC00000"/>
      </font>
      <fill>
        <patternFill>
          <bgColor theme="8" tint="0.39994506668294322"/>
        </patternFill>
      </fill>
    </dxf>
    <dxf>
      <font>
        <b/>
        <i val="0"/>
        <color rgb="FFFFFF00"/>
      </font>
      <fill>
        <patternFill>
          <bgColor theme="8" tint="-0.499984740745262"/>
        </patternFill>
      </fill>
    </dxf>
    <dxf>
      <font>
        <b/>
        <i val="0"/>
        <color rgb="FFFFFF99"/>
      </font>
      <fill>
        <patternFill>
          <bgColor theme="8" tint="-0.499984740745262"/>
        </patternFill>
      </fill>
    </dxf>
    <dxf>
      <font>
        <b/>
        <i val="0"/>
        <color theme="0"/>
      </font>
    </dxf>
    <dxf>
      <font>
        <b/>
        <i val="0"/>
        <color rgb="FFFFFF00"/>
      </font>
      <fill>
        <patternFill>
          <bgColor theme="0" tint="-0.499984740745262"/>
        </patternFill>
      </fill>
    </dxf>
    <dxf>
      <font>
        <b/>
        <i val="0"/>
        <color rgb="FFFFFF00"/>
      </font>
      <fill>
        <patternFill>
          <bgColor theme="8" tint="-0.499984740745262"/>
        </patternFill>
      </fill>
    </dxf>
    <dxf>
      <font>
        <b/>
        <i val="0"/>
        <color theme="0"/>
      </font>
      <fill>
        <patternFill>
          <bgColor theme="0"/>
        </patternFill>
      </fill>
      <border>
        <right/>
        <top/>
        <bottom/>
        <vertical/>
        <horizontal/>
      </border>
    </dxf>
    <dxf>
      <font>
        <b/>
        <i val="0"/>
        <color rgb="FFFFFF00"/>
      </font>
      <fill>
        <patternFill>
          <bgColor rgb="FFC00000"/>
        </patternFill>
      </fill>
    </dxf>
    <dxf>
      <font>
        <b/>
        <i val="0"/>
        <color rgb="FFFFFF00"/>
      </font>
      <fill>
        <patternFill>
          <bgColor theme="8" tint="-0.499984740745262"/>
        </patternFill>
      </fill>
    </dxf>
    <dxf>
      <font>
        <b/>
        <i val="0"/>
        <color rgb="FFFFFF00"/>
      </font>
      <fill>
        <patternFill>
          <bgColor theme="9" tint="-0.24994659260841701"/>
        </patternFill>
      </fill>
    </dxf>
    <dxf>
      <font>
        <b/>
        <i val="0"/>
        <color rgb="FFFFFF00"/>
      </font>
      <fill>
        <patternFill>
          <bgColor rgb="FFC00000"/>
        </patternFill>
      </fill>
    </dxf>
    <dxf>
      <font>
        <b/>
        <i val="0"/>
        <color rgb="FFC00000"/>
      </font>
      <fill>
        <patternFill>
          <bgColor rgb="FFC00000"/>
        </patternFill>
      </fill>
    </dxf>
    <dxf>
      <font>
        <b/>
        <i val="0"/>
        <color rgb="FFC00000"/>
      </font>
      <fill>
        <patternFill>
          <bgColor rgb="FFC00000"/>
        </patternFill>
      </fill>
    </dxf>
  </dxfs>
  <tableStyles count="0" defaultTableStyle="TableStyleMedium2" defaultPivotStyle="PivotStyleLight16"/>
  <colors>
    <mruColors>
      <color rgb="FF215967"/>
      <color rgb="FFFFFFCC"/>
      <color rgb="FFFFFF99"/>
      <color rgb="FFFFFF66"/>
      <color rgb="FF006666"/>
      <color rgb="FFFFCCCC"/>
      <color rgb="FF0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CA084-BA7E-42FF-BA52-7375E4D55D16}">
  <sheetPr transitionEvaluation="1">
    <tabColor theme="8" tint="-0.499984740745262"/>
    <pageSetUpPr autoPageBreaks="0"/>
  </sheetPr>
  <dimension ref="A1:BH202"/>
  <sheetViews>
    <sheetView showGridLines="0" showRowColHeaders="0" tabSelected="1" zoomScaleNormal="100" workbookViewId="0">
      <pane ySplit="13" topLeftCell="A14" activePane="bottomLeft" state="frozen"/>
      <selection pane="bottomLeft" activeCell="T31" sqref="T31"/>
    </sheetView>
  </sheetViews>
  <sheetFormatPr baseColWidth="10" defaultColWidth="9.77734375" defaultRowHeight="15.4"/>
  <cols>
    <col min="1" max="1" width="0.83203125" style="25" customWidth="1"/>
    <col min="2" max="2" width="1.609375" style="949" customWidth="1"/>
    <col min="3" max="3" width="10.609375" style="25" customWidth="1"/>
    <col min="4" max="4" width="9.609375" style="25" hidden="1" customWidth="1"/>
    <col min="5" max="5" width="9.609375" style="560" hidden="1" customWidth="1"/>
    <col min="6" max="6" width="3.609375" style="517" hidden="1" customWidth="1"/>
    <col min="7" max="14" width="3.109375" style="273" hidden="1" customWidth="1"/>
    <col min="15" max="15" width="5.109375" style="26" customWidth="1"/>
    <col min="16" max="16" width="9.609375" style="27" customWidth="1"/>
    <col min="17" max="17" width="8.109375" style="161" customWidth="1"/>
    <col min="18" max="18" width="9.609375" style="28" customWidth="1"/>
    <col min="19" max="19" width="8.609375" style="28" customWidth="1"/>
    <col min="20" max="20" width="7.83203125" style="90" customWidth="1"/>
    <col min="21" max="21" width="1.609375" style="111" customWidth="1"/>
    <col min="22" max="22" width="9.109375" style="28" customWidth="1"/>
    <col min="23" max="23" width="7.609375" style="29" customWidth="1"/>
    <col min="24" max="24" width="0.83203125" style="29" hidden="1" customWidth="1"/>
    <col min="25" max="25" width="4.38671875" style="29" hidden="1" customWidth="1"/>
    <col min="26" max="26" width="4.38671875" style="466" hidden="1" customWidth="1"/>
    <col min="27" max="29" width="4.38671875" style="29" hidden="1" customWidth="1"/>
    <col min="30" max="30" width="2.609375" style="447" hidden="1" customWidth="1"/>
    <col min="31" max="31" width="5.609375" style="29" hidden="1" customWidth="1"/>
    <col min="32" max="32" width="5.609375" style="306" hidden="1" customWidth="1"/>
    <col min="33" max="33" width="5.609375" style="68" hidden="1" customWidth="1"/>
    <col min="34" max="34" width="5.609375" style="320" hidden="1" customWidth="1"/>
    <col min="35" max="37" width="5.609375" style="29" hidden="1" customWidth="1"/>
    <col min="38" max="38" width="8.27734375" style="341" hidden="1" customWidth="1"/>
    <col min="39" max="39" width="8.109375" style="68" hidden="1" customWidth="1"/>
    <col min="40" max="40" width="8.609375" style="29" hidden="1" customWidth="1"/>
    <col min="41" max="41" width="0.83203125" style="29" hidden="1" customWidth="1"/>
    <col min="42" max="42" width="9.609375" style="68" hidden="1" customWidth="1"/>
    <col min="43" max="43" width="11.109375" style="306" hidden="1" customWidth="1"/>
    <col min="44" max="44" width="11.109375" style="68" hidden="1" customWidth="1"/>
    <col min="45" max="45" width="11.109375" style="30" hidden="1" customWidth="1"/>
    <col min="46" max="46" width="1.609375" style="111" customWidth="1"/>
    <col min="47" max="47" width="3.609375" style="530" customWidth="1"/>
    <col min="48" max="48" width="9.109375" style="30" customWidth="1"/>
    <col min="49" max="49" width="6.609375" style="30" customWidth="1"/>
    <col min="50" max="50" width="1.609375" style="107" customWidth="1"/>
    <col min="51" max="51" width="9.609375" style="25" customWidth="1"/>
    <col min="52" max="52" width="10.609375" style="25" customWidth="1"/>
    <col min="53" max="53" width="0.83203125" style="41" customWidth="1"/>
    <col min="54" max="54" width="8.109375" style="164" customWidth="1"/>
    <col min="55" max="55" width="9.109375" style="151" customWidth="1"/>
    <col min="56" max="58" width="9.77734375" style="148"/>
    <col min="59" max="60" width="9.77734375" style="146"/>
    <col min="61" max="16384" width="9.77734375" style="25"/>
  </cols>
  <sheetData>
    <row r="1" spans="1:60" s="6" customFormat="1" ht="3" customHeight="1">
      <c r="A1" s="473"/>
      <c r="B1" s="945"/>
      <c r="C1" s="1"/>
      <c r="D1" s="167"/>
      <c r="E1" s="550"/>
      <c r="F1" s="508"/>
      <c r="G1" s="267"/>
      <c r="H1" s="267"/>
      <c r="I1" s="267"/>
      <c r="J1" s="267"/>
      <c r="K1" s="267"/>
      <c r="L1" s="267"/>
      <c r="M1" s="267"/>
      <c r="N1" s="267"/>
      <c r="O1" s="2"/>
      <c r="P1" s="3"/>
      <c r="Q1" s="152"/>
      <c r="R1" s="4"/>
      <c r="S1" s="4"/>
      <c r="T1" s="85"/>
      <c r="U1" s="108"/>
      <c r="V1" s="4"/>
      <c r="W1" s="5"/>
      <c r="X1" s="80"/>
      <c r="Y1" s="80"/>
      <c r="Z1" s="450"/>
      <c r="AA1" s="80"/>
      <c r="AB1" s="80"/>
      <c r="AC1" s="80"/>
      <c r="AD1" s="438"/>
      <c r="AE1" s="80"/>
      <c r="AF1" s="291"/>
      <c r="AG1" s="80"/>
      <c r="AH1" s="307"/>
      <c r="AI1" s="80"/>
      <c r="AJ1" s="80"/>
      <c r="AK1" s="80"/>
      <c r="AL1" s="325"/>
      <c r="AM1" s="80"/>
      <c r="AN1" s="80"/>
      <c r="AO1" s="80"/>
      <c r="AP1" s="80"/>
      <c r="AQ1" s="291"/>
      <c r="AR1" s="80"/>
      <c r="AS1" s="81"/>
      <c r="AT1" s="108"/>
      <c r="AU1" s="524"/>
      <c r="AV1" s="11"/>
      <c r="AW1" s="7"/>
      <c r="AX1" s="102"/>
      <c r="BA1" s="31"/>
      <c r="BB1" s="162"/>
      <c r="BC1" s="149"/>
      <c r="BD1" s="141"/>
      <c r="BE1" s="141"/>
      <c r="BF1" s="141"/>
      <c r="BG1" s="140"/>
      <c r="BH1" s="140"/>
    </row>
    <row r="2" spans="1:60" s="6" customFormat="1" ht="20" customHeight="1">
      <c r="A2" s="8"/>
      <c r="B2" s="945"/>
      <c r="C2" s="968" t="s">
        <v>19</v>
      </c>
      <c r="D2" s="270"/>
      <c r="E2" s="547"/>
      <c r="F2" s="573" t="str">
        <f>+AB4</f>
        <v xml:space="preserve">Selekt OK </v>
      </c>
      <c r="G2" s="576">
        <f>IF(AND($AE$6&lt;&gt;"",L12=0),1,0)</f>
        <v>0</v>
      </c>
      <c r="H2" s="576">
        <f>IF(AND($AE$6&lt;&gt;"",+G10+I10+J10+K10&gt;0),1,0)</f>
        <v>0</v>
      </c>
      <c r="I2" s="575">
        <f>IF(AND(L12=0,+G10+H10+I10+J10+K10=0,AC36=0),1,0)</f>
        <v>0</v>
      </c>
      <c r="J2" s="575">
        <f>IF(G10+H10+I10+J10+K10+L10+AC36=0,1,0)</f>
        <v>0</v>
      </c>
      <c r="L2" s="580">
        <f>IF(AND(L12&gt;0,L12&lt;&gt;AC10),1,0)</f>
        <v>0</v>
      </c>
      <c r="M2" s="943">
        <f>IF(AND(N6&lt;&gt;0,AB38=0),1,0)</f>
        <v>0</v>
      </c>
      <c r="N2" s="577">
        <f>IF(G2+H2+I2+J2+L2+M2&gt;0,1,0)</f>
        <v>0</v>
      </c>
      <c r="O2" s="967" t="s">
        <v>35</v>
      </c>
      <c r="P2" s="967"/>
      <c r="Q2" s="967"/>
      <c r="R2" s="913">
        <f>SUMIF(C13:C32,"€-Einlage",V13:V32)</f>
        <v>50000</v>
      </c>
      <c r="S2" s="1002" t="s">
        <v>38</v>
      </c>
      <c r="T2" s="1003"/>
      <c r="U2" s="108"/>
      <c r="V2" s="904">
        <v>-1234.56</v>
      </c>
      <c r="W2" s="261" t="s">
        <v>8</v>
      </c>
      <c r="Y2" s="1019" t="s">
        <v>155</v>
      </c>
      <c r="Z2" s="1019"/>
      <c r="AA2" s="1019"/>
      <c r="AB2" s="1019"/>
      <c r="AC2" s="1019"/>
      <c r="AD2" s="12"/>
      <c r="AE2" s="1013" t="s">
        <v>82</v>
      </c>
      <c r="AF2" s="1013"/>
      <c r="AG2" s="1013"/>
      <c r="AH2" s="1013"/>
      <c r="AI2" s="1013"/>
      <c r="AJ2" s="1013"/>
      <c r="AK2" s="1013"/>
      <c r="AL2" s="1013"/>
      <c r="AM2" s="1013"/>
      <c r="AN2" s="1013"/>
      <c r="AP2" s="1014" t="s">
        <v>83</v>
      </c>
      <c r="AQ2" s="1014"/>
      <c r="AR2" s="1014"/>
      <c r="AS2" s="1014"/>
      <c r="AT2" s="501" t="s">
        <v>150</v>
      </c>
      <c r="AU2" s="974">
        <f>+AY2/R2</f>
        <v>1.0560320000000001</v>
      </c>
      <c r="AV2" s="974"/>
      <c r="AW2" s="974"/>
      <c r="AX2" s="905" t="s">
        <v>29</v>
      </c>
      <c r="AY2" s="969">
        <f>+R4-R2</f>
        <v>52801.600000000006</v>
      </c>
      <c r="AZ2" s="970"/>
      <c r="BA2" s="40" t="s">
        <v>7</v>
      </c>
      <c r="BB2" s="162"/>
      <c r="BC2" s="149"/>
      <c r="BD2" s="141"/>
      <c r="BE2" s="141"/>
      <c r="BF2" s="141"/>
      <c r="BG2" s="140"/>
      <c r="BH2" s="140"/>
    </row>
    <row r="3" spans="1:60" s="6" customFormat="1" ht="8" customHeight="1">
      <c r="A3" s="8"/>
      <c r="B3" s="945"/>
      <c r="C3" s="968"/>
      <c r="D3" s="270"/>
      <c r="E3" s="547"/>
      <c r="F3" s="573"/>
      <c r="G3" s="940"/>
      <c r="H3" s="940"/>
      <c r="I3" s="941"/>
      <c r="J3" s="941"/>
      <c r="L3" s="941"/>
      <c r="M3" s="942" t="s">
        <v>5</v>
      </c>
      <c r="N3" s="940"/>
      <c r="O3" s="967"/>
      <c r="P3" s="967"/>
      <c r="Q3" s="967"/>
      <c r="R3" s="906"/>
      <c r="S3" s="903"/>
      <c r="T3" s="903"/>
      <c r="U3" s="108"/>
      <c r="V3" s="907"/>
      <c r="W3" s="261"/>
      <c r="Y3" s="916"/>
      <c r="Z3" s="916"/>
      <c r="AA3" s="916"/>
      <c r="AB3" s="916"/>
      <c r="AC3" s="916"/>
      <c r="AD3" s="12"/>
      <c r="AE3" s="917"/>
      <c r="AF3" s="917"/>
      <c r="AG3" s="917"/>
      <c r="AH3" s="917"/>
      <c r="AI3" s="917"/>
      <c r="AJ3" s="917"/>
      <c r="AK3" s="917"/>
      <c r="AL3" s="917"/>
      <c r="AM3" s="917"/>
      <c r="AN3" s="917"/>
      <c r="AP3" s="918"/>
      <c r="AQ3" s="918"/>
      <c r="AR3" s="918"/>
      <c r="AS3" s="918"/>
      <c r="AT3" s="501"/>
      <c r="AU3" s="973" t="s">
        <v>180</v>
      </c>
      <c r="AV3" s="973"/>
      <c r="AW3" s="973"/>
      <c r="AX3" s="910"/>
      <c r="AY3" s="910"/>
      <c r="AZ3" s="910"/>
      <c r="BA3" s="40"/>
      <c r="BB3" s="162"/>
      <c r="BC3" s="149"/>
      <c r="BD3" s="141"/>
      <c r="BE3" s="141"/>
      <c r="BF3" s="141"/>
      <c r="BG3" s="140"/>
      <c r="BH3" s="140"/>
    </row>
    <row r="4" spans="1:60" s="6" customFormat="1" ht="21" customHeight="1">
      <c r="A4" s="9" t="s">
        <v>7</v>
      </c>
      <c r="B4" s="945"/>
      <c r="C4" s="1016" t="s">
        <v>194</v>
      </c>
      <c r="D4" s="1017"/>
      <c r="E4" s="1017"/>
      <c r="F4" s="1017"/>
      <c r="G4" s="1017"/>
      <c r="H4" s="1017"/>
      <c r="I4" s="1017"/>
      <c r="J4" s="1017"/>
      <c r="K4" s="1017"/>
      <c r="L4" s="1017"/>
      <c r="M4" s="1017"/>
      <c r="N4" s="1017"/>
      <c r="O4" s="1016"/>
      <c r="P4" s="1016"/>
      <c r="Q4" s="1018"/>
      <c r="R4" s="500">
        <f>SUM(P38:P47)</f>
        <v>102801.60000000001</v>
      </c>
      <c r="S4" s="1004" t="s">
        <v>121</v>
      </c>
      <c r="T4" s="1005"/>
      <c r="U4" s="520" t="s">
        <v>150</v>
      </c>
      <c r="V4" s="908">
        <f>IF(+O36-R36+V2&lt;0,0,+O36-R36+V2)</f>
        <v>53577.040000000008</v>
      </c>
      <c r="W4" s="909" t="s">
        <v>179</v>
      </c>
      <c r="Z4" s="468"/>
      <c r="AA4" s="565"/>
      <c r="AB4" s="565" t="str">
        <f>IF(AC4&gt;0,"neu selektieren ","Selekt OK ")</f>
        <v xml:space="preserve">Selekt OK </v>
      </c>
      <c r="AC4" s="522">
        <f>+N2</f>
        <v>0</v>
      </c>
      <c r="AD4" s="12"/>
      <c r="AE4" s="978">
        <f>-V4*0.25</f>
        <v>-13394.260000000002</v>
      </c>
      <c r="AF4" s="978"/>
      <c r="AG4" s="979">
        <f>+AE4*0.055</f>
        <v>-736.68430000000012</v>
      </c>
      <c r="AH4" s="979"/>
      <c r="AI4" s="980">
        <f>+AE4*0.02</f>
        <v>-267.88520000000005</v>
      </c>
      <c r="AJ4" s="980"/>
      <c r="AK4" s="79"/>
      <c r="AL4" s="45"/>
      <c r="AP4" s="63"/>
      <c r="AQ4" s="304"/>
      <c r="AR4" s="63"/>
      <c r="AS4" s="11"/>
      <c r="AT4" s="911"/>
      <c r="AU4" s="975">
        <f>IF(AU3="mit Kirchensteuer",+AE4+AG4+AI4,+AE4+AG4)</f>
        <v>-14130.944300000003</v>
      </c>
      <c r="AV4" s="976"/>
      <c r="AW4" s="977"/>
      <c r="AX4" s="912" t="s">
        <v>29</v>
      </c>
      <c r="AY4" s="971">
        <f>+R4+AU4</f>
        <v>88670.655700000003</v>
      </c>
      <c r="AZ4" s="972"/>
      <c r="BA4" s="40" t="s">
        <v>7</v>
      </c>
      <c r="BB4" s="162"/>
      <c r="BC4" s="149"/>
      <c r="BE4" s="141"/>
      <c r="BF4" s="141"/>
      <c r="BG4" s="140"/>
      <c r="BH4" s="140"/>
    </row>
    <row r="5" spans="1:60" s="6" customFormat="1" ht="15" customHeight="1">
      <c r="A5" s="9"/>
      <c r="B5" s="945"/>
      <c r="C5" s="120" t="s">
        <v>9</v>
      </c>
      <c r="D5" s="120"/>
      <c r="F5" s="563" t="s">
        <v>163</v>
      </c>
      <c r="G5" s="572">
        <f ca="1">SUM(F11:F54)</f>
        <v>42</v>
      </c>
      <c r="H5" s="265">
        <f ca="1">SUBTOTAL(109,F11:F54)</f>
        <v>42</v>
      </c>
      <c r="I5" s="548" t="s">
        <v>164</v>
      </c>
      <c r="L5" s="984" t="s">
        <v>165</v>
      </c>
      <c r="M5" s="985"/>
      <c r="N5" s="574">
        <f ca="1">IF(G5=H5,0,1)</f>
        <v>0</v>
      </c>
      <c r="O5" s="64" t="s">
        <v>3</v>
      </c>
      <c r="Q5" s="153"/>
      <c r="R5" s="78" t="s">
        <v>1</v>
      </c>
      <c r="S5" s="79" t="s">
        <v>5</v>
      </c>
      <c r="T5" s="46" t="s">
        <v>10</v>
      </c>
      <c r="U5" s="108"/>
      <c r="V5" s="45" t="s">
        <v>27</v>
      </c>
      <c r="W5" s="46" t="s">
        <v>6</v>
      </c>
      <c r="Y5" s="122"/>
      <c r="Z5" s="124"/>
      <c r="AA5" s="122"/>
      <c r="AB5" s="122"/>
      <c r="AC5" s="408" t="s">
        <v>118</v>
      </c>
      <c r="AD5" s="12"/>
      <c r="AE5" s="372" t="s">
        <v>31</v>
      </c>
      <c r="AF5" s="357"/>
      <c r="AG5" s="364" t="s">
        <v>84</v>
      </c>
      <c r="AH5" s="366" t="s">
        <v>100</v>
      </c>
      <c r="AI5" s="227" t="s">
        <v>1</v>
      </c>
      <c r="AJ5" s="365" t="s">
        <v>5</v>
      </c>
      <c r="AK5" s="192"/>
      <c r="AM5" s="358" t="s">
        <v>4</v>
      </c>
      <c r="AN5" s="361" t="s">
        <v>15</v>
      </c>
      <c r="AP5" s="372" t="s">
        <v>31</v>
      </c>
      <c r="AQ5" s="78" t="s">
        <v>160</v>
      </c>
      <c r="AR5" s="358" t="s">
        <v>114</v>
      </c>
      <c r="AS5" s="44"/>
      <c r="AT5" s="108"/>
      <c r="AU5" s="981" t="str">
        <f>IF(AND(AV6&lt;&gt;"Erfolgsrechnung",AU6=0),"Diese Aktie ist geschlossen!",IF(AQ6&lt;&gt;0,"erzielbarer Verkaufserfolg",IF(AE6&lt;&gt;"","aktueller Erfolg aktiver Aktien","keine Aktie ausgewählt")))</f>
        <v>keine Aktie ausgewählt</v>
      </c>
      <c r="AV5" s="981"/>
      <c r="AW5" s="981"/>
      <c r="AX5" s="103"/>
      <c r="AY5" s="1008" t="s">
        <v>28</v>
      </c>
      <c r="AZ5" s="1008"/>
      <c r="BA5" s="40" t="s">
        <v>7</v>
      </c>
      <c r="BE5" s="141"/>
      <c r="BF5" s="141"/>
      <c r="BG5" s="140"/>
      <c r="BH5" s="140"/>
    </row>
    <row r="6" spans="1:60" s="12" customFormat="1" ht="13.9">
      <c r="A6" s="38"/>
      <c r="B6" s="946"/>
      <c r="C6" s="247">
        <f ca="1">TODAY()</f>
        <v>46096</v>
      </c>
      <c r="D6" s="247" t="s">
        <v>80</v>
      </c>
      <c r="F6" s="564" t="s">
        <v>161</v>
      </c>
      <c r="G6" s="571">
        <f t="shared" ref="G6:L6" si="0">COUNTIF($B$14:$B$32,G13)</f>
        <v>0</v>
      </c>
      <c r="H6" s="571">
        <f t="shared" si="0"/>
        <v>1</v>
      </c>
      <c r="I6" s="571">
        <f t="shared" si="0"/>
        <v>1</v>
      </c>
      <c r="J6" s="571">
        <f t="shared" si="0"/>
        <v>6</v>
      </c>
      <c r="K6" s="571">
        <f t="shared" si="0"/>
        <v>6</v>
      </c>
      <c r="L6" s="571">
        <f t="shared" si="0"/>
        <v>0</v>
      </c>
      <c r="M6" s="953">
        <f>+AC36</f>
        <v>6</v>
      </c>
      <c r="N6" s="953">
        <f>SUBTOTAL(109,N13:N54)</f>
        <v>4</v>
      </c>
      <c r="O6" s="248">
        <f>SUM(O13:O32)</f>
        <v>682</v>
      </c>
      <c r="P6" s="1011" t="s">
        <v>151</v>
      </c>
      <c r="Q6" s="1012"/>
      <c r="R6" s="249">
        <f>SUM(R13:R32)</f>
        <v>-60486.714</v>
      </c>
      <c r="S6" s="33">
        <f>SUM(S13:S32)</f>
        <v>12433</v>
      </c>
      <c r="T6" s="287">
        <f>SUM(T13:T32)</f>
        <v>395</v>
      </c>
      <c r="U6" s="403"/>
      <c r="V6" s="250">
        <f>SUMIF(C13:C32,"$-Bank",V13:V32)</f>
        <v>-3.8</v>
      </c>
      <c r="W6" s="209">
        <f>SUM(W13:W32)</f>
        <v>-104.18</v>
      </c>
      <c r="Y6" s="409"/>
      <c r="Z6" s="451"/>
      <c r="AA6" s="410" t="s">
        <v>117</v>
      </c>
      <c r="AB6" s="410" t="s">
        <v>117</v>
      </c>
      <c r="AC6" s="411">
        <f>SUM(AD13:AD32)</f>
        <v>14</v>
      </c>
      <c r="AE6" s="380" t="str">
        <f>IF(C52&lt;&gt;"",+C52,IF(C10&lt;&gt;"",+C10,""))</f>
        <v/>
      </c>
      <c r="AF6" s="381"/>
      <c r="AG6" s="363">
        <f>-O52</f>
        <v>0</v>
      </c>
      <c r="AH6" s="367">
        <f>+AE13+AF13</f>
        <v>0</v>
      </c>
      <c r="AI6" s="373">
        <f>+AE13</f>
        <v>0</v>
      </c>
      <c r="AJ6" s="360">
        <f>+AF13</f>
        <v>0</v>
      </c>
      <c r="AL6" s="359" t="s">
        <v>108</v>
      </c>
      <c r="AM6" s="342">
        <f>SUMIF(C38:C46,AE6,Q38:Q46)</f>
        <v>0</v>
      </c>
      <c r="AN6" s="352">
        <f>SUM(AN13:AN33)</f>
        <v>0</v>
      </c>
      <c r="AP6" s="380" t="str">
        <f>+AE6</f>
        <v/>
      </c>
      <c r="AQ6" s="543">
        <f>IF(AND(C52&lt;&gt;"",O52&lt;&gt;0),O52,0)</f>
        <v>0</v>
      </c>
      <c r="AR6" s="342">
        <f>+AM6</f>
        <v>0</v>
      </c>
      <c r="AS6" s="44"/>
      <c r="AT6" s="108"/>
      <c r="AU6" s="546" t="str">
        <f>IF(AV6="Erfolgsrechnung","",SUM(AU13:AU32))</f>
        <v/>
      </c>
      <c r="AV6" s="1021" t="str">
        <f>IF(C52&lt;&gt;"",+C52,IF(C10&lt;&gt;"",+C10,"Erfolgsrechnung"))</f>
        <v>Erfolgsrechnung</v>
      </c>
      <c r="AW6" s="1022"/>
      <c r="AX6" s="583" t="s">
        <v>150</v>
      </c>
      <c r="AY6" s="1006">
        <f>SUM(AY13:AY32)</f>
        <v>2004.4660000000017</v>
      </c>
      <c r="AZ6" s="1007"/>
      <c r="BA6" s="40" t="s">
        <v>7</v>
      </c>
      <c r="BD6" s="141"/>
      <c r="BE6" s="141"/>
      <c r="BF6" s="141"/>
      <c r="BG6" s="141"/>
      <c r="BH6" s="141"/>
    </row>
    <row r="7" spans="1:60" s="6" customFormat="1" ht="3" customHeight="1">
      <c r="A7" s="8"/>
      <c r="B7" s="947"/>
      <c r="C7" s="424"/>
      <c r="D7" s="424"/>
      <c r="E7" s="551"/>
      <c r="F7" s="518"/>
      <c r="G7" s="424"/>
      <c r="H7" s="424"/>
      <c r="I7" s="424"/>
      <c r="J7" s="424"/>
      <c r="K7" s="424"/>
      <c r="L7" s="424"/>
      <c r="M7" s="424"/>
      <c r="N7" s="424"/>
      <c r="O7" s="424"/>
      <c r="P7" s="424"/>
      <c r="Q7" s="154"/>
      <c r="R7" s="115"/>
      <c r="S7" s="116"/>
      <c r="T7" s="117"/>
      <c r="U7" s="108"/>
      <c r="V7" s="118"/>
      <c r="W7" s="119"/>
      <c r="Y7" s="122"/>
      <c r="Z7" s="124"/>
      <c r="AD7" s="12"/>
      <c r="AL7" s="326"/>
      <c r="AM7" s="343"/>
      <c r="AN7" s="149"/>
      <c r="AP7" s="65"/>
      <c r="AQ7" s="384"/>
      <c r="AR7" s="65"/>
      <c r="AS7" s="60"/>
      <c r="AT7" s="108"/>
      <c r="AU7" s="524"/>
      <c r="AX7" s="104"/>
      <c r="BA7" s="40"/>
      <c r="BD7" s="141"/>
      <c r="BE7" s="141"/>
      <c r="BF7" s="141"/>
      <c r="BG7" s="140"/>
      <c r="BH7" s="140"/>
    </row>
    <row r="8" spans="1:60" s="6" customFormat="1" ht="3" customHeight="1" thickBot="1">
      <c r="A8" s="8"/>
      <c r="B8" s="947"/>
      <c r="C8" s="954"/>
      <c r="D8" s="954"/>
      <c r="E8" s="955"/>
      <c r="F8" s="956"/>
      <c r="G8" s="954"/>
      <c r="H8" s="954"/>
      <c r="I8" s="954"/>
      <c r="J8" s="954"/>
      <c r="K8" s="954"/>
      <c r="L8" s="954"/>
      <c r="M8" s="954"/>
      <c r="N8" s="954"/>
      <c r="O8" s="954"/>
      <c r="P8" s="954"/>
      <c r="Q8" s="957"/>
      <c r="R8" s="614"/>
      <c r="S8" s="615"/>
      <c r="T8" s="616"/>
      <c r="U8" s="109"/>
      <c r="V8" s="617"/>
      <c r="W8" s="618"/>
      <c r="X8" s="958"/>
      <c r="Y8" s="959"/>
      <c r="Z8" s="960"/>
      <c r="AA8" s="958"/>
      <c r="AB8" s="958"/>
      <c r="AC8" s="958"/>
      <c r="AD8" s="938"/>
      <c r="AE8" s="958"/>
      <c r="AF8" s="958"/>
      <c r="AG8" s="958"/>
      <c r="AH8" s="958"/>
      <c r="AI8" s="958"/>
      <c r="AJ8" s="958"/>
      <c r="AK8" s="958"/>
      <c r="AL8" s="961"/>
      <c r="AM8" s="962"/>
      <c r="AN8" s="963"/>
      <c r="AO8" s="958"/>
      <c r="AP8" s="619"/>
      <c r="AQ8" s="964"/>
      <c r="AR8" s="619"/>
      <c r="AS8" s="620"/>
      <c r="AT8" s="109"/>
      <c r="AU8" s="915"/>
      <c r="AV8" s="958"/>
      <c r="AW8" s="958"/>
      <c r="AX8" s="621"/>
      <c r="AY8" s="965"/>
      <c r="AZ8" s="965"/>
      <c r="BA8" s="40"/>
      <c r="BD8" s="141"/>
      <c r="BE8" s="141"/>
      <c r="BF8" s="141"/>
      <c r="BG8" s="140"/>
      <c r="BH8" s="140"/>
    </row>
    <row r="9" spans="1:60" s="6" customFormat="1" ht="3" customHeight="1">
      <c r="A9" s="8"/>
      <c r="B9" s="947"/>
      <c r="C9" s="424"/>
      <c r="D9" s="424"/>
      <c r="E9" s="551"/>
      <c r="F9" s="518"/>
      <c r="G9" s="424"/>
      <c r="H9" s="424"/>
      <c r="I9" s="424"/>
      <c r="J9" s="424"/>
      <c r="K9" s="424"/>
      <c r="L9" s="424"/>
      <c r="M9" s="424"/>
      <c r="N9" s="424"/>
      <c r="O9" s="424"/>
      <c r="P9" s="424"/>
      <c r="Q9" s="154"/>
      <c r="R9" s="115"/>
      <c r="S9" s="116"/>
      <c r="T9" s="117"/>
      <c r="U9" s="108"/>
      <c r="V9" s="118"/>
      <c r="W9" s="119"/>
      <c r="Y9" s="122"/>
      <c r="Z9" s="124"/>
      <c r="AD9" s="12"/>
      <c r="AL9" s="326"/>
      <c r="AM9" s="343"/>
      <c r="AN9" s="149"/>
      <c r="AP9" s="65"/>
      <c r="AQ9" s="384"/>
      <c r="AR9" s="65"/>
      <c r="AS9" s="60"/>
      <c r="AT9" s="108"/>
      <c r="AU9" s="524"/>
      <c r="AX9" s="104"/>
      <c r="AY9" s="1030" t="s">
        <v>97</v>
      </c>
      <c r="AZ9" s="1030"/>
      <c r="BA9" s="40"/>
      <c r="BD9" s="141"/>
      <c r="BE9" s="141"/>
      <c r="BF9" s="141"/>
      <c r="BG9" s="140"/>
      <c r="BH9" s="140"/>
    </row>
    <row r="10" spans="1:60" s="6" customFormat="1" ht="14" customHeight="1">
      <c r="A10" s="8"/>
      <c r="B10" s="948">
        <f>IF(AND(C10&lt;&gt;"",C52&lt;&gt;""),1,0)</f>
        <v>0</v>
      </c>
      <c r="C10" s="474" t="s">
        <v>26</v>
      </c>
      <c r="D10" s="424"/>
      <c r="F10" s="564" t="s">
        <v>166</v>
      </c>
      <c r="G10" s="570">
        <f t="shared" ref="G10:L10" si="1">IF(G6=0,0,IF(+G6-G12=0,1,0))</f>
        <v>0</v>
      </c>
      <c r="H10" s="570">
        <f t="shared" si="1"/>
        <v>1</v>
      </c>
      <c r="I10" s="570">
        <f t="shared" si="1"/>
        <v>1</v>
      </c>
      <c r="J10" s="570">
        <f t="shared" si="1"/>
        <v>1</v>
      </c>
      <c r="K10" s="570">
        <f t="shared" si="1"/>
        <v>1</v>
      </c>
      <c r="L10" s="579">
        <f t="shared" si="1"/>
        <v>0</v>
      </c>
      <c r="M10" s="986">
        <f>SUM(G10:L10)</f>
        <v>4</v>
      </c>
      <c r="N10" s="987"/>
      <c r="O10" s="521" t="s">
        <v>181</v>
      </c>
      <c r="P10" s="991" t="str">
        <f>IF(B10&gt;0,"Es sind die Aktien aus 'Verkauf' angezeigt &gt; ","")</f>
        <v/>
      </c>
      <c r="Q10" s="991"/>
      <c r="R10" s="991"/>
      <c r="S10" s="992" t="str">
        <f>IF(B10&gt;0,+C52,"")</f>
        <v/>
      </c>
      <c r="T10" s="992"/>
      <c r="U10" s="108"/>
      <c r="V10" s="988" t="s">
        <v>157</v>
      </c>
      <c r="W10" s="988"/>
      <c r="Y10" s="122"/>
      <c r="Z10" s="124"/>
      <c r="AA10" s="415" t="s">
        <v>119</v>
      </c>
      <c r="AB10" s="415" t="s">
        <v>119</v>
      </c>
      <c r="AC10" s="582">
        <f>SUBTOTAL(109,AD13:AD32)</f>
        <v>14</v>
      </c>
      <c r="AD10" s="12"/>
      <c r="AE10" s="425" t="s">
        <v>1</v>
      </c>
      <c r="AF10" s="426" t="s">
        <v>5</v>
      </c>
      <c r="AG10" s="427" t="s">
        <v>100</v>
      </c>
      <c r="AH10" s="428" t="s">
        <v>96</v>
      </c>
      <c r="AI10" s="429" t="s">
        <v>95</v>
      </c>
      <c r="AJ10" s="430" t="s">
        <v>5</v>
      </c>
      <c r="AK10" s="362" t="s">
        <v>95</v>
      </c>
      <c r="AL10" s="326"/>
      <c r="AM10" s="343"/>
      <c r="AN10" s="149"/>
      <c r="AP10" s="65"/>
      <c r="AQ10" s="384"/>
      <c r="AR10" s="65"/>
      <c r="AS10" s="60"/>
      <c r="AT10" s="108"/>
      <c r="AU10" s="999" t="str">
        <f>IF(AC4=0,"",IF(G2+H2+L2&lt;&gt;0,"!&gt;Einzelauswahl","neue Selektion"))</f>
        <v/>
      </c>
      <c r="AV10" s="999"/>
      <c r="AW10" s="494" t="str">
        <f>IF(AC4=1,"ausführen!","")</f>
        <v/>
      </c>
      <c r="AX10" s="104"/>
      <c r="AY10" s="1031"/>
      <c r="AZ10" s="1031"/>
      <c r="BA10" s="40"/>
      <c r="BD10" s="141"/>
      <c r="BE10" s="141"/>
      <c r="BF10" s="141"/>
      <c r="BG10" s="140"/>
      <c r="BH10" s="140"/>
    </row>
    <row r="11" spans="1:60" s="6" customFormat="1" ht="3" customHeight="1">
      <c r="A11" s="8"/>
      <c r="B11" s="947"/>
      <c r="C11" s="424"/>
      <c r="D11" s="424"/>
      <c r="E11" s="551"/>
      <c r="F11" s="509"/>
      <c r="G11" s="424"/>
      <c r="H11" s="424"/>
      <c r="I11" s="424"/>
      <c r="J11" s="424"/>
      <c r="K11" s="424"/>
      <c r="L11" s="424"/>
      <c r="M11" s="424"/>
      <c r="N11" s="424"/>
      <c r="O11" s="424"/>
      <c r="P11" s="424"/>
      <c r="Q11" s="154"/>
      <c r="R11" s="115"/>
      <c r="S11" s="116"/>
      <c r="T11" s="117"/>
      <c r="U11" s="108"/>
      <c r="V11" s="118"/>
      <c r="W11" s="119"/>
      <c r="Y11" s="122"/>
      <c r="Z11" s="124"/>
      <c r="AA11" s="415"/>
      <c r="AB11" s="415"/>
      <c r="AC11" s="414"/>
      <c r="AD11" s="12"/>
      <c r="AE11" s="425"/>
      <c r="AF11" s="426"/>
      <c r="AG11" s="427"/>
      <c r="AH11" s="428"/>
      <c r="AI11" s="429"/>
      <c r="AJ11" s="430"/>
      <c r="AK11" s="362"/>
      <c r="AL11" s="326"/>
      <c r="AM11" s="343"/>
      <c r="AN11" s="149"/>
      <c r="AP11" s="65"/>
      <c r="AQ11" s="384"/>
      <c r="AR11" s="65"/>
      <c r="AS11" s="60"/>
      <c r="AT11" s="108"/>
      <c r="AU11" s="524"/>
      <c r="AV11" s="431"/>
      <c r="AW11" s="431"/>
      <c r="AX11" s="104"/>
      <c r="AY11" s="1032"/>
      <c r="AZ11" s="1032"/>
      <c r="BA11" s="40"/>
      <c r="BD11" s="141"/>
      <c r="BE11" s="141"/>
      <c r="BF11" s="141"/>
      <c r="BG11" s="140"/>
      <c r="BH11" s="140"/>
    </row>
    <row r="12" spans="1:60" s="6" customFormat="1" ht="14" customHeight="1">
      <c r="A12" s="9" t="s">
        <v>7</v>
      </c>
      <c r="B12" s="240" t="s">
        <v>33</v>
      </c>
      <c r="C12" s="179" t="s">
        <v>162</v>
      </c>
      <c r="D12" s="179" t="s">
        <v>98</v>
      </c>
      <c r="E12" s="179" t="s">
        <v>158</v>
      </c>
      <c r="F12" s="510">
        <f ca="1">IF($C$6&gt;0,1,1)</f>
        <v>1</v>
      </c>
      <c r="G12" s="265">
        <f t="shared" ref="G12:L12" si="2">SUBTOTAL(109,G13:G33)</f>
        <v>0</v>
      </c>
      <c r="H12" s="265">
        <f t="shared" si="2"/>
        <v>1</v>
      </c>
      <c r="I12" s="265">
        <f t="shared" si="2"/>
        <v>1</v>
      </c>
      <c r="J12" s="265">
        <f t="shared" si="2"/>
        <v>6</v>
      </c>
      <c r="K12" s="265">
        <f t="shared" si="2"/>
        <v>6</v>
      </c>
      <c r="L12" s="569">
        <f t="shared" si="2"/>
        <v>0</v>
      </c>
      <c r="O12" s="180" t="s">
        <v>3</v>
      </c>
      <c r="P12" s="181" t="s">
        <v>2</v>
      </c>
      <c r="Q12" s="182" t="s">
        <v>4</v>
      </c>
      <c r="R12" s="183" t="s">
        <v>1</v>
      </c>
      <c r="S12" s="184" t="s">
        <v>5</v>
      </c>
      <c r="T12" s="289" t="s">
        <v>10</v>
      </c>
      <c r="U12" s="185"/>
      <c r="V12" s="186" t="s">
        <v>19</v>
      </c>
      <c r="W12" s="187" t="s">
        <v>6</v>
      </c>
      <c r="Y12" s="404" t="s">
        <v>126</v>
      </c>
      <c r="Z12" s="452" t="s">
        <v>115</v>
      </c>
      <c r="AA12" s="448" t="s">
        <v>116</v>
      </c>
      <c r="AB12" s="448" t="s">
        <v>116</v>
      </c>
      <c r="AC12" s="449">
        <f>SUM(AC13:AC32)</f>
        <v>0</v>
      </c>
      <c r="AD12" s="270" t="s">
        <v>120</v>
      </c>
      <c r="AE12" s="241" t="s">
        <v>110</v>
      </c>
      <c r="AF12" s="207" t="s">
        <v>110</v>
      </c>
      <c r="AG12" s="321" t="s">
        <v>109</v>
      </c>
      <c r="AH12" s="376" t="s">
        <v>101</v>
      </c>
      <c r="AI12" s="374" t="s">
        <v>146</v>
      </c>
      <c r="AJ12" s="323" t="s">
        <v>102</v>
      </c>
      <c r="AK12" s="353" t="s">
        <v>89</v>
      </c>
      <c r="AL12" s="327" t="s">
        <v>104</v>
      </c>
      <c r="AM12" s="344" t="s">
        <v>105</v>
      </c>
      <c r="AN12" s="195" t="s">
        <v>147</v>
      </c>
      <c r="AP12" s="382" t="s">
        <v>111</v>
      </c>
      <c r="AQ12" s="383" t="s">
        <v>112</v>
      </c>
      <c r="AR12" s="382" t="s">
        <v>113</v>
      </c>
      <c r="AS12" s="195" t="s">
        <v>147</v>
      </c>
      <c r="AT12" s="185"/>
      <c r="AU12" s="1040" t="s">
        <v>168</v>
      </c>
      <c r="AV12" s="1040"/>
      <c r="AW12" s="544" t="s">
        <v>21</v>
      </c>
      <c r="AX12" s="188"/>
      <c r="AY12" s="189" t="s">
        <v>23</v>
      </c>
      <c r="AZ12" s="189" t="s">
        <v>39</v>
      </c>
      <c r="BA12" s="40" t="s">
        <v>7</v>
      </c>
      <c r="BD12" s="141"/>
      <c r="BE12" s="141"/>
      <c r="BF12" s="141"/>
      <c r="BG12" s="140"/>
      <c r="BH12" s="140"/>
    </row>
    <row r="13" spans="1:60" s="6" customFormat="1" ht="10.050000000000001" customHeight="1">
      <c r="A13" s="9" t="s">
        <v>7</v>
      </c>
      <c r="B13" s="944"/>
      <c r="C13" s="69"/>
      <c r="D13" s="168"/>
      <c r="E13" s="561" t="str" cm="1">
        <f t="array" ref="E13:E29">_xlfn._xlws.SORT(D14:D30,1,1)</f>
        <v/>
      </c>
      <c r="F13" s="510">
        <f t="shared" ref="F13:F31" ca="1" si="3">IF($C$6&gt;0,1,1)</f>
        <v>1</v>
      </c>
      <c r="G13" s="467" t="s">
        <v>47</v>
      </c>
      <c r="H13" s="467" t="s">
        <v>24</v>
      </c>
      <c r="I13" s="467" t="s">
        <v>25</v>
      </c>
      <c r="J13" s="467" t="s">
        <v>183</v>
      </c>
      <c r="K13" s="467" t="s">
        <v>184</v>
      </c>
      <c r="L13" s="467" t="s">
        <v>153</v>
      </c>
      <c r="M13" s="504" t="s">
        <v>154</v>
      </c>
      <c r="N13" s="504" t="s">
        <v>5</v>
      </c>
      <c r="O13" s="70"/>
      <c r="P13" s="71"/>
      <c r="Q13" s="155"/>
      <c r="R13" s="72"/>
      <c r="S13" s="83"/>
      <c r="T13" s="86"/>
      <c r="U13" s="108"/>
      <c r="V13" s="75"/>
      <c r="W13" s="73"/>
      <c r="Z13" s="453"/>
      <c r="AA13" s="581" t="s">
        <v>31</v>
      </c>
      <c r="AB13" s="581" t="s">
        <v>5</v>
      </c>
      <c r="AD13" s="439"/>
      <c r="AE13" s="412">
        <f>SUM(AE14:AE32)</f>
        <v>0</v>
      </c>
      <c r="AF13" s="368">
        <f>SUM(AF14:AF32)</f>
        <v>0</v>
      </c>
      <c r="AG13" s="369"/>
      <c r="AH13" s="377">
        <f>+AF13</f>
        <v>0</v>
      </c>
      <c r="AI13" s="375"/>
      <c r="AJ13" s="370">
        <f>-AG6</f>
        <v>0</v>
      </c>
      <c r="AK13" s="371">
        <f>-AG6</f>
        <v>0</v>
      </c>
      <c r="AL13" s="327" t="s">
        <v>103</v>
      </c>
      <c r="AM13" s="344" t="s">
        <v>106</v>
      </c>
      <c r="AN13" s="355" t="s">
        <v>107</v>
      </c>
      <c r="AP13" s="398">
        <f>SUM(AP14:AP32)</f>
        <v>0</v>
      </c>
      <c r="AQ13" s="399">
        <f>SUM(AQ14:AQ32)</f>
        <v>0</v>
      </c>
      <c r="AR13" s="398">
        <f>SUM(AR14:AR32)</f>
        <v>0</v>
      </c>
      <c r="AS13" s="355" t="s">
        <v>107</v>
      </c>
      <c r="AT13" s="108"/>
      <c r="AU13" s="989">
        <f>+AR6</f>
        <v>0</v>
      </c>
      <c r="AV13" s="990"/>
      <c r="AW13" s="402"/>
      <c r="AX13" s="105"/>
      <c r="AY13" s="74"/>
      <c r="AZ13" s="74"/>
      <c r="BA13" s="40" t="s">
        <v>7</v>
      </c>
      <c r="BD13" s="141"/>
      <c r="BE13" s="141"/>
      <c r="BF13" s="141"/>
      <c r="BG13" s="140"/>
      <c r="BH13" s="140"/>
    </row>
    <row r="14" spans="1:60" s="12" customFormat="1" ht="13.9">
      <c r="A14" s="9" t="s">
        <v>7</v>
      </c>
      <c r="B14" s="945" t="str">
        <f>IF(C14="","",IF(C14="§-AGS","§-AGS",IF(C14="€-Einlage","€-Einlage",IF(C14="$-Bank","$-Bank",IF(OR(AA14=1,AB14=1),"!&gt;Einzelauswahl",IF(Z14&gt;0,"Aktien aktiv",IF(Z14&lt;0,"Aktien historisch","")))))))</f>
        <v>€-Einlage</v>
      </c>
      <c r="C14" s="475" t="s">
        <v>24</v>
      </c>
      <c r="D14" s="476" t="str">
        <f>IF(OR(C14="§-AGS",C14="€-Einlage",C14="$-Bank"),"",+C14)</f>
        <v/>
      </c>
      <c r="E14" s="562" t="str">
        <v/>
      </c>
      <c r="F14" s="510">
        <f t="shared" ca="1" si="3"/>
        <v>1</v>
      </c>
      <c r="G14" s="477">
        <f>IF(G$13=$B14,1,0)</f>
        <v>0</v>
      </c>
      <c r="H14" s="477">
        <f t="shared" ref="H14:N29" si="4">IF(H$13=$B14,1,0)</f>
        <v>1</v>
      </c>
      <c r="I14" s="477">
        <f t="shared" si="4"/>
        <v>0</v>
      </c>
      <c r="J14" s="477">
        <f t="shared" si="4"/>
        <v>0</v>
      </c>
      <c r="K14" s="477">
        <f t="shared" si="4"/>
        <v>0</v>
      </c>
      <c r="L14" s="566">
        <f t="shared" ref="L14:L31" si="5">IF(L$13=$B14,1,0)</f>
        <v>0</v>
      </c>
      <c r="M14" s="477">
        <f t="shared" si="4"/>
        <v>0</v>
      </c>
      <c r="N14" s="477">
        <f t="shared" si="4"/>
        <v>0</v>
      </c>
      <c r="O14" s="478" t="s">
        <v>36</v>
      </c>
      <c r="P14" s="479">
        <v>43949</v>
      </c>
      <c r="Q14" s="480"/>
      <c r="R14" s="91" t="str">
        <f t="shared" ref="R14:R20" si="6">IF(O14&gt;0,-Q14*O14,"")</f>
        <v/>
      </c>
      <c r="S14" s="33" t="str">
        <f t="shared" ref="S14:S28" si="7">IF(O14&lt;0,-O14*Q14,"")</f>
        <v/>
      </c>
      <c r="T14" s="481" t="s">
        <v>26</v>
      </c>
      <c r="U14" s="108">
        <f t="shared" ref="U14:U28" si="8">IF(P14&gt;0,1,0)</f>
        <v>1</v>
      </c>
      <c r="V14" s="482">
        <v>50000</v>
      </c>
      <c r="W14" s="483"/>
      <c r="Y14" s="405">
        <f t="shared" ref="Y14:Y31" si="9">SUMIF($Z$38:$Z$47,$C14,$Y$36:$Y$47)</f>
        <v>0</v>
      </c>
      <c r="Z14" s="454">
        <f t="shared" ref="Z14:Z31" si="10">SUMIF($Z$38:$Z$47,$C14,$AE$38:$AE$47)</f>
        <v>0</v>
      </c>
      <c r="AA14" s="578">
        <f t="shared" ref="AA14:AA31" si="11">IF($C$10="",0,IF(AND($C$52="",$C$10=C14),1,0))</f>
        <v>0</v>
      </c>
      <c r="AB14" s="578">
        <f t="shared" ref="AB14:AB31" si="12">IF($C$52="",0,IF(AND($C$52=D14,$O$52&lt;&gt;0,AK14&lt;&gt;0),1,IF(AND($C$52=D14,$O$52=0),1,0)))</f>
        <v>0</v>
      </c>
      <c r="AC14" s="405">
        <f t="shared" ref="AC14:AC28" si="13">IF(AND(C14&lt;&gt;"",AND(C14=$AE$6,B14="!&gt;Einzelauswahl")),1,0)</f>
        <v>0</v>
      </c>
      <c r="AD14" s="440">
        <f t="shared" ref="AD14:AD28" si="14">IF(C14&lt;&gt;"",1,"")</f>
        <v>1</v>
      </c>
      <c r="AE14" s="413">
        <f t="shared" ref="AE14:AE28" si="15">IF(AND(C14=$AE$6,O14&gt;0),+O14,0)</f>
        <v>0</v>
      </c>
      <c r="AF14" s="292">
        <f t="shared" ref="AF14:AF28" si="16">IF(AND(C14=$AE$6,O14&lt;0),+O14,0)</f>
        <v>0</v>
      </c>
      <c r="AG14" s="322">
        <f>+AG13+AE14+AF14</f>
        <v>0</v>
      </c>
      <c r="AH14" s="492">
        <f t="shared" ref="AH14:AH28" si="17">IF(C14=$AE$6,+AH13+AE14-AI13,+AH13)</f>
        <v>0</v>
      </c>
      <c r="AI14" s="491">
        <f t="shared" ref="AI14:AI28" si="18">IF(C14&lt;&gt;$AE$6,+AI13,IF(AH14&gt;0,IF(AH14&gt;AJ13,+AJ13,+AH14),0))</f>
        <v>0</v>
      </c>
      <c r="AJ14" s="322">
        <f t="shared" ref="AJ14:AJ28" si="19">IF(C14=$AE$6,+AJ13-AI14,+AJ13)</f>
        <v>0</v>
      </c>
      <c r="AK14" s="354">
        <f t="shared" ref="AK14:AK28" si="20">IF(C14=$AE$6,+AI14,0)</f>
        <v>0</v>
      </c>
      <c r="AL14" s="328">
        <f t="shared" ref="AL14:AL28" si="21">-AK14*Q14</f>
        <v>0</v>
      </c>
      <c r="AM14" s="345">
        <f t="shared" ref="AM14:AM28" si="22">AK14*$AM$6</f>
        <v>0</v>
      </c>
      <c r="AN14" s="352">
        <f t="shared" ref="AN14:AN28" si="23">+AM14+AL14</f>
        <v>0</v>
      </c>
      <c r="AP14" s="523">
        <f t="shared" ref="AP14:AP28" si="24">IF(AND(C14=$AP$6,AH14&gt;0,O14&gt;0),IF(AH14&gt;=O14,O14-AK14,AH14-AK14),0)</f>
        <v>0</v>
      </c>
      <c r="AQ14" s="385">
        <f>-AP14*Q14</f>
        <v>0</v>
      </c>
      <c r="AR14" s="400">
        <f>+AP14*$AR$6</f>
        <v>0</v>
      </c>
      <c r="AS14" s="352">
        <f t="shared" ref="AS14:AS28" si="25">+AR14+AQ14</f>
        <v>0</v>
      </c>
      <c r="AT14" s="108">
        <f t="shared" ref="AT14:AT28" si="26">IF(AO14&gt;0,1,0)</f>
        <v>0</v>
      </c>
      <c r="AU14" s="531">
        <f t="shared" ref="AU14" si="27">IF($AQ$6=0,+AP14,AK14)</f>
        <v>0</v>
      </c>
      <c r="AV14" s="395">
        <f t="shared" ref="AV14:AV28" si="28">IF(C14=$AV$6,IF($AQ$6=0,AS14,AN14),0)</f>
        <v>0</v>
      </c>
      <c r="AW14" s="406" t="str">
        <f t="shared" ref="AW14:AW28" si="29">IF(C14=$AV$6,IF($AQ$6=0,IF(AQ14&lt;&gt;0,AV14/-AQ14,0),IF(AL14&lt;&gt;0,AV14/-AL14,0)),"")</f>
        <v/>
      </c>
      <c r="AX14" s="54">
        <f t="shared" ref="AX14:AX27" si="30">IF(AZ14=AZ13,AX13+1,0)</f>
        <v>0</v>
      </c>
      <c r="AY14" s="127">
        <f t="shared" ref="AY14:AY28" si="31">+R14+S14+T14+V14+W14</f>
        <v>50000</v>
      </c>
      <c r="AZ14" s="37">
        <f t="shared" ref="AZ14:AZ27" si="32">+AZ13+AY14</f>
        <v>50000</v>
      </c>
      <c r="BA14" s="40" t="s">
        <v>7</v>
      </c>
      <c r="BD14" s="141"/>
      <c r="BE14" s="141"/>
      <c r="BF14" s="141"/>
      <c r="BG14" s="141"/>
      <c r="BH14" s="141"/>
    </row>
    <row r="15" spans="1:60" s="12" customFormat="1" ht="13.9">
      <c r="A15" s="9" t="s">
        <v>7</v>
      </c>
      <c r="B15" s="945" t="str">
        <f t="shared" ref="B15:B28" si="33">IF(C15="","",IF(C15="§-AGS","§-AGS",IF(C15="€-Einlage","€-Einlage",IF(C15="$-Bank","$-Bank",IF(OR(AA15=1,AB15=1),"!&gt;Einzelauswahl",IF(Z15&gt;0,"Aktien aktiv",IF(Z15&lt;0,"Aktien historisch","")))))))</f>
        <v>Aktien aktiv</v>
      </c>
      <c r="C15" s="475" t="s">
        <v>195</v>
      </c>
      <c r="D15" s="476" t="str">
        <f t="shared" ref="D15:D28" si="34">IF(OR(C15="§-AGS",C15="€-Einlage",C15="$-Bank"),"",+C15)</f>
        <v>Aktie-1</v>
      </c>
      <c r="E15" s="562" t="str">
        <v/>
      </c>
      <c r="F15" s="510">
        <f t="shared" ca="1" si="3"/>
        <v>1</v>
      </c>
      <c r="G15" s="477">
        <f t="shared" ref="G15:G28" si="35">IF(G$13=$B15,1,0)</f>
        <v>0</v>
      </c>
      <c r="H15" s="477">
        <f t="shared" si="4"/>
        <v>0</v>
      </c>
      <c r="I15" s="477">
        <f t="shared" si="4"/>
        <v>0</v>
      </c>
      <c r="J15" s="477">
        <f t="shared" si="4"/>
        <v>1</v>
      </c>
      <c r="K15" s="477">
        <f t="shared" si="4"/>
        <v>0</v>
      </c>
      <c r="L15" s="566">
        <f t="shared" si="5"/>
        <v>0</v>
      </c>
      <c r="M15" s="477">
        <f t="shared" si="4"/>
        <v>0</v>
      </c>
      <c r="N15" s="477">
        <f t="shared" si="4"/>
        <v>0</v>
      </c>
      <c r="O15" s="478">
        <v>250</v>
      </c>
      <c r="P15" s="479">
        <v>43950</v>
      </c>
      <c r="Q15" s="480">
        <v>107.92</v>
      </c>
      <c r="R15" s="91">
        <f t="shared" si="6"/>
        <v>-26980</v>
      </c>
      <c r="S15" s="33" t="str">
        <f t="shared" si="7"/>
        <v/>
      </c>
      <c r="T15" s="481" t="s">
        <v>26</v>
      </c>
      <c r="U15" s="108">
        <f t="shared" si="8"/>
        <v>1</v>
      </c>
      <c r="V15" s="482">
        <v>-71.650000000000006</v>
      </c>
      <c r="W15" s="484"/>
      <c r="Y15" s="405">
        <f t="shared" si="9"/>
        <v>1</v>
      </c>
      <c r="Z15" s="454">
        <f t="shared" si="10"/>
        <v>1</v>
      </c>
      <c r="AA15" s="578">
        <f t="shared" si="11"/>
        <v>0</v>
      </c>
      <c r="AB15" s="578">
        <f t="shared" si="12"/>
        <v>0</v>
      </c>
      <c r="AC15" s="405">
        <f t="shared" si="13"/>
        <v>0</v>
      </c>
      <c r="AD15" s="440">
        <f t="shared" si="14"/>
        <v>1</v>
      </c>
      <c r="AE15" s="413">
        <f t="shared" si="15"/>
        <v>0</v>
      </c>
      <c r="AF15" s="292">
        <f t="shared" si="16"/>
        <v>0</v>
      </c>
      <c r="AG15" s="322">
        <f t="shared" ref="AG15:AG28" si="36">+AG14+AE15+AF15</f>
        <v>0</v>
      </c>
      <c r="AH15" s="492">
        <f t="shared" si="17"/>
        <v>0</v>
      </c>
      <c r="AI15" s="491">
        <f t="shared" si="18"/>
        <v>0</v>
      </c>
      <c r="AJ15" s="322">
        <f t="shared" si="19"/>
        <v>0</v>
      </c>
      <c r="AK15" s="354">
        <f t="shared" si="20"/>
        <v>0</v>
      </c>
      <c r="AL15" s="328">
        <f t="shared" si="21"/>
        <v>0</v>
      </c>
      <c r="AM15" s="345">
        <f t="shared" si="22"/>
        <v>0</v>
      </c>
      <c r="AN15" s="352">
        <f t="shared" si="23"/>
        <v>0</v>
      </c>
      <c r="AP15" s="523">
        <f t="shared" si="24"/>
        <v>0</v>
      </c>
      <c r="AQ15" s="385">
        <f t="shared" ref="AQ15:AQ28" si="37">-AP15*Q15</f>
        <v>0</v>
      </c>
      <c r="AR15" s="400">
        <f t="shared" ref="AR15:AR28" si="38">+AP15*$AR$6</f>
        <v>0</v>
      </c>
      <c r="AS15" s="352">
        <f t="shared" si="25"/>
        <v>0</v>
      </c>
      <c r="AT15" s="108">
        <f t="shared" si="26"/>
        <v>0</v>
      </c>
      <c r="AU15" s="531">
        <f t="shared" ref="AU15:AU28" si="39">IF($AQ$6=0,+AP15,AK15)</f>
        <v>0</v>
      </c>
      <c r="AV15" s="395">
        <f t="shared" si="28"/>
        <v>0</v>
      </c>
      <c r="AW15" s="406" t="str">
        <f t="shared" si="29"/>
        <v/>
      </c>
      <c r="AX15" s="54">
        <f t="shared" si="30"/>
        <v>0</v>
      </c>
      <c r="AY15" s="127">
        <f t="shared" si="31"/>
        <v>-27051.65</v>
      </c>
      <c r="AZ15" s="37">
        <f t="shared" si="32"/>
        <v>22948.35</v>
      </c>
      <c r="BA15" s="40" t="s">
        <v>7</v>
      </c>
      <c r="BD15" s="141"/>
      <c r="BE15" s="141"/>
      <c r="BF15" s="141"/>
      <c r="BG15" s="141"/>
      <c r="BH15" s="141"/>
    </row>
    <row r="16" spans="1:60" s="12" customFormat="1" ht="13.9">
      <c r="A16" s="9" t="s">
        <v>7</v>
      </c>
      <c r="B16" s="945" t="str">
        <f t="shared" si="33"/>
        <v>Aktien aktiv</v>
      </c>
      <c r="C16" s="475" t="s">
        <v>195</v>
      </c>
      <c r="D16" s="476" t="str">
        <f t="shared" si="34"/>
        <v>Aktie-1</v>
      </c>
      <c r="E16" s="562" t="str">
        <v/>
      </c>
      <c r="F16" s="510">
        <f t="shared" ca="1" si="3"/>
        <v>1</v>
      </c>
      <c r="G16" s="477">
        <f t="shared" si="35"/>
        <v>0</v>
      </c>
      <c r="H16" s="477">
        <f t="shared" si="4"/>
        <v>0</v>
      </c>
      <c r="I16" s="477">
        <f t="shared" si="4"/>
        <v>0</v>
      </c>
      <c r="J16" s="477">
        <f t="shared" si="4"/>
        <v>1</v>
      </c>
      <c r="K16" s="477">
        <f t="shared" si="4"/>
        <v>0</v>
      </c>
      <c r="L16" s="566">
        <f t="shared" si="5"/>
        <v>0</v>
      </c>
      <c r="M16" s="477">
        <f t="shared" si="4"/>
        <v>0</v>
      </c>
      <c r="N16" s="477">
        <f t="shared" si="4"/>
        <v>0</v>
      </c>
      <c r="O16" s="478" t="s">
        <v>20</v>
      </c>
      <c r="P16" s="479">
        <v>43977</v>
      </c>
      <c r="Q16" s="480"/>
      <c r="R16" s="91" t="str">
        <f t="shared" si="6"/>
        <v/>
      </c>
      <c r="S16" s="33" t="str">
        <f t="shared" si="7"/>
        <v/>
      </c>
      <c r="T16" s="481">
        <v>395</v>
      </c>
      <c r="U16" s="108">
        <f t="shared" si="8"/>
        <v>1</v>
      </c>
      <c r="V16" s="482"/>
      <c r="W16" s="483">
        <v>-104.18</v>
      </c>
      <c r="Y16" s="405">
        <f t="shared" si="9"/>
        <v>1</v>
      </c>
      <c r="Z16" s="454">
        <f t="shared" si="10"/>
        <v>1</v>
      </c>
      <c r="AA16" s="578">
        <f t="shared" si="11"/>
        <v>0</v>
      </c>
      <c r="AB16" s="578">
        <f t="shared" si="12"/>
        <v>0</v>
      </c>
      <c r="AC16" s="405">
        <f t="shared" si="13"/>
        <v>0</v>
      </c>
      <c r="AD16" s="440">
        <f t="shared" si="14"/>
        <v>1</v>
      </c>
      <c r="AE16" s="413">
        <f t="shared" si="15"/>
        <v>0</v>
      </c>
      <c r="AF16" s="292">
        <f t="shared" si="16"/>
        <v>0</v>
      </c>
      <c r="AG16" s="322">
        <f t="shared" si="36"/>
        <v>0</v>
      </c>
      <c r="AH16" s="492">
        <f t="shared" si="17"/>
        <v>0</v>
      </c>
      <c r="AI16" s="491">
        <f t="shared" si="18"/>
        <v>0</v>
      </c>
      <c r="AJ16" s="322">
        <f t="shared" si="19"/>
        <v>0</v>
      </c>
      <c r="AK16" s="354">
        <f t="shared" si="20"/>
        <v>0</v>
      </c>
      <c r="AL16" s="328">
        <f t="shared" si="21"/>
        <v>0</v>
      </c>
      <c r="AM16" s="345">
        <f t="shared" si="22"/>
        <v>0</v>
      </c>
      <c r="AN16" s="352">
        <f t="shared" si="23"/>
        <v>0</v>
      </c>
      <c r="AP16" s="523">
        <f t="shared" si="24"/>
        <v>0</v>
      </c>
      <c r="AQ16" s="385">
        <f t="shared" si="37"/>
        <v>0</v>
      </c>
      <c r="AR16" s="400">
        <f t="shared" si="38"/>
        <v>0</v>
      </c>
      <c r="AS16" s="352">
        <f t="shared" si="25"/>
        <v>0</v>
      </c>
      <c r="AT16" s="108">
        <f t="shared" si="26"/>
        <v>0</v>
      </c>
      <c r="AU16" s="531">
        <f t="shared" si="39"/>
        <v>0</v>
      </c>
      <c r="AV16" s="395">
        <f t="shared" si="28"/>
        <v>0</v>
      </c>
      <c r="AW16" s="406" t="str">
        <f t="shared" si="29"/>
        <v/>
      </c>
      <c r="AX16" s="54">
        <f t="shared" si="30"/>
        <v>0</v>
      </c>
      <c r="AY16" s="127">
        <f t="shared" si="31"/>
        <v>290.82</v>
      </c>
      <c r="AZ16" s="37">
        <f t="shared" si="32"/>
        <v>23239.17</v>
      </c>
      <c r="BA16" s="40" t="s">
        <v>7</v>
      </c>
      <c r="BD16" s="141"/>
      <c r="BE16" s="141"/>
      <c r="BF16" s="141"/>
      <c r="BG16" s="141"/>
      <c r="BH16" s="141"/>
    </row>
    <row r="17" spans="1:60" s="12" customFormat="1" ht="13.9">
      <c r="A17" s="9" t="s">
        <v>7</v>
      </c>
      <c r="B17" s="945" t="str">
        <f t="shared" si="33"/>
        <v>Aktien historisch</v>
      </c>
      <c r="C17" s="475" t="s">
        <v>196</v>
      </c>
      <c r="D17" s="476" t="str">
        <f t="shared" si="34"/>
        <v>Aktie-2</v>
      </c>
      <c r="E17" s="562" t="str">
        <v/>
      </c>
      <c r="F17" s="510">
        <f t="shared" ca="1" si="3"/>
        <v>1</v>
      </c>
      <c r="G17" s="477">
        <f t="shared" si="35"/>
        <v>0</v>
      </c>
      <c r="H17" s="477">
        <f t="shared" si="4"/>
        <v>0</v>
      </c>
      <c r="I17" s="477">
        <f t="shared" si="4"/>
        <v>0</v>
      </c>
      <c r="J17" s="477">
        <f t="shared" si="4"/>
        <v>0</v>
      </c>
      <c r="K17" s="477">
        <f t="shared" si="4"/>
        <v>1</v>
      </c>
      <c r="L17" s="566">
        <f t="shared" si="5"/>
        <v>0</v>
      </c>
      <c r="M17" s="477">
        <f t="shared" si="4"/>
        <v>0</v>
      </c>
      <c r="N17" s="477">
        <f t="shared" si="4"/>
        <v>0</v>
      </c>
      <c r="O17" s="478">
        <v>408</v>
      </c>
      <c r="P17" s="479">
        <v>43979</v>
      </c>
      <c r="Q17" s="480">
        <v>9.39</v>
      </c>
      <c r="R17" s="91">
        <f t="shared" si="6"/>
        <v>-3831.1200000000003</v>
      </c>
      <c r="S17" s="33" t="str">
        <f t="shared" si="7"/>
        <v/>
      </c>
      <c r="T17" s="481" t="s">
        <v>26</v>
      </c>
      <c r="U17" s="108">
        <f t="shared" si="8"/>
        <v>1</v>
      </c>
      <c r="V17" s="482">
        <v>-16.23</v>
      </c>
      <c r="W17" s="483"/>
      <c r="Y17" s="405">
        <f t="shared" si="9"/>
        <v>0</v>
      </c>
      <c r="Z17" s="454">
        <f t="shared" si="10"/>
        <v>-1</v>
      </c>
      <c r="AA17" s="578">
        <f t="shared" si="11"/>
        <v>0</v>
      </c>
      <c r="AB17" s="578">
        <f t="shared" si="12"/>
        <v>0</v>
      </c>
      <c r="AC17" s="405">
        <f t="shared" si="13"/>
        <v>0</v>
      </c>
      <c r="AD17" s="440">
        <f t="shared" si="14"/>
        <v>1</v>
      </c>
      <c r="AE17" s="413">
        <f t="shared" si="15"/>
        <v>0</v>
      </c>
      <c r="AF17" s="292">
        <f t="shared" si="16"/>
        <v>0</v>
      </c>
      <c r="AG17" s="322">
        <f t="shared" si="36"/>
        <v>0</v>
      </c>
      <c r="AH17" s="492">
        <f t="shared" si="17"/>
        <v>0</v>
      </c>
      <c r="AI17" s="491">
        <f t="shared" si="18"/>
        <v>0</v>
      </c>
      <c r="AJ17" s="322">
        <f t="shared" si="19"/>
        <v>0</v>
      </c>
      <c r="AK17" s="354">
        <f t="shared" si="20"/>
        <v>0</v>
      </c>
      <c r="AL17" s="328">
        <f t="shared" si="21"/>
        <v>0</v>
      </c>
      <c r="AM17" s="345">
        <f t="shared" si="22"/>
        <v>0</v>
      </c>
      <c r="AN17" s="352">
        <f t="shared" si="23"/>
        <v>0</v>
      </c>
      <c r="AP17" s="523">
        <f t="shared" si="24"/>
        <v>0</v>
      </c>
      <c r="AQ17" s="385">
        <f t="shared" si="37"/>
        <v>0</v>
      </c>
      <c r="AR17" s="400">
        <f t="shared" si="38"/>
        <v>0</v>
      </c>
      <c r="AS17" s="352">
        <f t="shared" si="25"/>
        <v>0</v>
      </c>
      <c r="AT17" s="108">
        <f t="shared" si="26"/>
        <v>0</v>
      </c>
      <c r="AU17" s="531">
        <f t="shared" si="39"/>
        <v>0</v>
      </c>
      <c r="AV17" s="395">
        <f t="shared" si="28"/>
        <v>0</v>
      </c>
      <c r="AW17" s="406" t="str">
        <f t="shared" si="29"/>
        <v/>
      </c>
      <c r="AX17" s="54">
        <f t="shared" si="30"/>
        <v>0</v>
      </c>
      <c r="AY17" s="127">
        <f t="shared" si="31"/>
        <v>-3847.3500000000004</v>
      </c>
      <c r="AZ17" s="37">
        <f t="shared" si="32"/>
        <v>19391.82</v>
      </c>
      <c r="BA17" s="40" t="s">
        <v>7</v>
      </c>
      <c r="BD17" s="141"/>
      <c r="BE17" s="141"/>
      <c r="BF17" s="141"/>
      <c r="BG17" s="141"/>
      <c r="BH17" s="141"/>
    </row>
    <row r="18" spans="1:60" s="12" customFormat="1" ht="13.9">
      <c r="A18" s="9" t="s">
        <v>7</v>
      </c>
      <c r="B18" s="945" t="str">
        <f t="shared" si="33"/>
        <v>Aktien historisch</v>
      </c>
      <c r="C18" s="475" t="s">
        <v>196</v>
      </c>
      <c r="D18" s="476" t="str">
        <f t="shared" si="34"/>
        <v>Aktie-2</v>
      </c>
      <c r="E18" s="562" t="str">
        <v>Aktie-1</v>
      </c>
      <c r="F18" s="510">
        <f t="shared" ca="1" si="3"/>
        <v>1</v>
      </c>
      <c r="G18" s="477">
        <f t="shared" si="35"/>
        <v>0</v>
      </c>
      <c r="H18" s="477">
        <f t="shared" si="4"/>
        <v>0</v>
      </c>
      <c r="I18" s="477">
        <f t="shared" si="4"/>
        <v>0</v>
      </c>
      <c r="J18" s="477">
        <f t="shared" si="4"/>
        <v>0</v>
      </c>
      <c r="K18" s="477">
        <f t="shared" si="4"/>
        <v>1</v>
      </c>
      <c r="L18" s="566">
        <f t="shared" si="5"/>
        <v>0</v>
      </c>
      <c r="M18" s="477">
        <f t="shared" si="4"/>
        <v>0</v>
      </c>
      <c r="N18" s="477">
        <f t="shared" si="4"/>
        <v>0</v>
      </c>
      <c r="O18" s="478">
        <v>92</v>
      </c>
      <c r="P18" s="479">
        <v>43979</v>
      </c>
      <c r="Q18" s="480">
        <v>12</v>
      </c>
      <c r="R18" s="91">
        <f>IF(O18&gt;0,-Q18*O18,"")+0.006</f>
        <v>-1103.9939999999999</v>
      </c>
      <c r="S18" s="33" t="str">
        <f t="shared" si="7"/>
        <v/>
      </c>
      <c r="T18" s="481" t="s">
        <v>26</v>
      </c>
      <c r="U18" s="108">
        <f t="shared" si="8"/>
        <v>1</v>
      </c>
      <c r="V18" s="482">
        <v>-2.15</v>
      </c>
      <c r="W18" s="485"/>
      <c r="Y18" s="405">
        <f t="shared" si="9"/>
        <v>0</v>
      </c>
      <c r="Z18" s="454">
        <f t="shared" si="10"/>
        <v>-1</v>
      </c>
      <c r="AA18" s="578">
        <f t="shared" si="11"/>
        <v>0</v>
      </c>
      <c r="AB18" s="578">
        <f t="shared" si="12"/>
        <v>0</v>
      </c>
      <c r="AC18" s="405">
        <f t="shared" si="13"/>
        <v>0</v>
      </c>
      <c r="AD18" s="440">
        <f t="shared" si="14"/>
        <v>1</v>
      </c>
      <c r="AE18" s="413">
        <f t="shared" si="15"/>
        <v>0</v>
      </c>
      <c r="AF18" s="292">
        <f t="shared" si="16"/>
        <v>0</v>
      </c>
      <c r="AG18" s="322">
        <f t="shared" si="36"/>
        <v>0</v>
      </c>
      <c r="AH18" s="492">
        <f t="shared" si="17"/>
        <v>0</v>
      </c>
      <c r="AI18" s="491">
        <f t="shared" si="18"/>
        <v>0</v>
      </c>
      <c r="AJ18" s="322">
        <f t="shared" si="19"/>
        <v>0</v>
      </c>
      <c r="AK18" s="354">
        <f t="shared" si="20"/>
        <v>0</v>
      </c>
      <c r="AL18" s="328">
        <f t="shared" si="21"/>
        <v>0</v>
      </c>
      <c r="AM18" s="345">
        <f t="shared" si="22"/>
        <v>0</v>
      </c>
      <c r="AN18" s="352">
        <f t="shared" si="23"/>
        <v>0</v>
      </c>
      <c r="AP18" s="523">
        <f t="shared" si="24"/>
        <v>0</v>
      </c>
      <c r="AQ18" s="385">
        <f t="shared" si="37"/>
        <v>0</v>
      </c>
      <c r="AR18" s="400">
        <f t="shared" si="38"/>
        <v>0</v>
      </c>
      <c r="AS18" s="352">
        <f t="shared" si="25"/>
        <v>0</v>
      </c>
      <c r="AT18" s="108">
        <f t="shared" si="26"/>
        <v>0</v>
      </c>
      <c r="AU18" s="531">
        <f t="shared" si="39"/>
        <v>0</v>
      </c>
      <c r="AV18" s="395">
        <f t="shared" si="28"/>
        <v>0</v>
      </c>
      <c r="AW18" s="406" t="str">
        <f t="shared" si="29"/>
        <v/>
      </c>
      <c r="AX18" s="54">
        <f t="shared" si="30"/>
        <v>0</v>
      </c>
      <c r="AY18" s="127">
        <f t="shared" si="31"/>
        <v>-1106.144</v>
      </c>
      <c r="AZ18" s="37">
        <f t="shared" si="32"/>
        <v>18285.675999999999</v>
      </c>
      <c r="BA18" s="40" t="s">
        <v>7</v>
      </c>
      <c r="BD18" s="141"/>
      <c r="BE18" s="141"/>
      <c r="BF18" s="141"/>
      <c r="BG18" s="141"/>
      <c r="BH18" s="141"/>
    </row>
    <row r="19" spans="1:60" s="12" customFormat="1" ht="13.9">
      <c r="A19" s="9" t="s">
        <v>7</v>
      </c>
      <c r="B19" s="945" t="str">
        <f t="shared" si="33"/>
        <v>Aktien aktiv</v>
      </c>
      <c r="C19" s="475" t="s">
        <v>197</v>
      </c>
      <c r="D19" s="476" t="str">
        <f t="shared" si="34"/>
        <v>Aktie-3</v>
      </c>
      <c r="E19" s="562" t="str">
        <v>Aktie-1</v>
      </c>
      <c r="F19" s="510">
        <f t="shared" ca="1" si="3"/>
        <v>1</v>
      </c>
      <c r="G19" s="477">
        <f t="shared" si="35"/>
        <v>0</v>
      </c>
      <c r="H19" s="477">
        <f t="shared" si="4"/>
        <v>0</v>
      </c>
      <c r="I19" s="477">
        <f t="shared" si="4"/>
        <v>0</v>
      </c>
      <c r="J19" s="477">
        <f t="shared" si="4"/>
        <v>1</v>
      </c>
      <c r="K19" s="477">
        <f t="shared" si="4"/>
        <v>0</v>
      </c>
      <c r="L19" s="566">
        <f t="shared" si="5"/>
        <v>0</v>
      </c>
      <c r="M19" s="477">
        <f t="shared" si="4"/>
        <v>0</v>
      </c>
      <c r="N19" s="477">
        <f t="shared" si="4"/>
        <v>0</v>
      </c>
      <c r="O19" s="478">
        <v>130</v>
      </c>
      <c r="P19" s="479">
        <v>43980</v>
      </c>
      <c r="Q19" s="480">
        <v>100</v>
      </c>
      <c r="R19" s="91">
        <f t="shared" si="6"/>
        <v>-13000</v>
      </c>
      <c r="S19" s="33" t="str">
        <f t="shared" si="7"/>
        <v/>
      </c>
      <c r="T19" s="481" t="s">
        <v>26</v>
      </c>
      <c r="U19" s="108">
        <f t="shared" si="8"/>
        <v>1</v>
      </c>
      <c r="V19" s="482">
        <v>-59.4</v>
      </c>
      <c r="W19" s="483"/>
      <c r="Y19" s="405">
        <f t="shared" si="9"/>
        <v>1</v>
      </c>
      <c r="Z19" s="454">
        <f t="shared" si="10"/>
        <v>1</v>
      </c>
      <c r="AA19" s="578">
        <f t="shared" si="11"/>
        <v>0</v>
      </c>
      <c r="AB19" s="578">
        <f t="shared" si="12"/>
        <v>0</v>
      </c>
      <c r="AC19" s="405">
        <f t="shared" si="13"/>
        <v>0</v>
      </c>
      <c r="AD19" s="440">
        <f t="shared" si="14"/>
        <v>1</v>
      </c>
      <c r="AE19" s="413">
        <f t="shared" si="15"/>
        <v>0</v>
      </c>
      <c r="AF19" s="292">
        <f t="shared" si="16"/>
        <v>0</v>
      </c>
      <c r="AG19" s="322">
        <f t="shared" si="36"/>
        <v>0</v>
      </c>
      <c r="AH19" s="492">
        <f t="shared" si="17"/>
        <v>0</v>
      </c>
      <c r="AI19" s="491">
        <f t="shared" si="18"/>
        <v>0</v>
      </c>
      <c r="AJ19" s="322">
        <f t="shared" si="19"/>
        <v>0</v>
      </c>
      <c r="AK19" s="354">
        <f t="shared" si="20"/>
        <v>0</v>
      </c>
      <c r="AL19" s="328">
        <f t="shared" si="21"/>
        <v>0</v>
      </c>
      <c r="AM19" s="345">
        <f t="shared" si="22"/>
        <v>0</v>
      </c>
      <c r="AN19" s="352">
        <f t="shared" si="23"/>
        <v>0</v>
      </c>
      <c r="AP19" s="523">
        <f t="shared" si="24"/>
        <v>0</v>
      </c>
      <c r="AQ19" s="385">
        <f t="shared" si="37"/>
        <v>0</v>
      </c>
      <c r="AR19" s="400">
        <f t="shared" si="38"/>
        <v>0</v>
      </c>
      <c r="AS19" s="352">
        <f t="shared" si="25"/>
        <v>0</v>
      </c>
      <c r="AT19" s="108">
        <f t="shared" si="26"/>
        <v>0</v>
      </c>
      <c r="AU19" s="531">
        <f t="shared" si="39"/>
        <v>0</v>
      </c>
      <c r="AV19" s="395">
        <f t="shared" si="28"/>
        <v>0</v>
      </c>
      <c r="AW19" s="406" t="str">
        <f t="shared" si="29"/>
        <v/>
      </c>
      <c r="AX19" s="54">
        <f t="shared" si="30"/>
        <v>0</v>
      </c>
      <c r="AY19" s="127">
        <f t="shared" si="31"/>
        <v>-13059.4</v>
      </c>
      <c r="AZ19" s="37">
        <f t="shared" si="32"/>
        <v>5226.2759999999998</v>
      </c>
      <c r="BA19" s="40" t="s">
        <v>7</v>
      </c>
      <c r="BD19" s="191"/>
      <c r="BE19" s="141"/>
      <c r="BF19" s="141"/>
      <c r="BG19" s="141"/>
      <c r="BH19" s="141"/>
    </row>
    <row r="20" spans="1:60" s="12" customFormat="1" ht="13.9">
      <c r="A20" s="9" t="s">
        <v>7</v>
      </c>
      <c r="B20" s="945" t="str">
        <f t="shared" si="33"/>
        <v>Aktien historisch</v>
      </c>
      <c r="C20" s="475" t="s">
        <v>198</v>
      </c>
      <c r="D20" s="476" t="str">
        <f t="shared" si="34"/>
        <v>Aktie-4</v>
      </c>
      <c r="E20" s="562" t="str">
        <v>Aktie-2</v>
      </c>
      <c r="F20" s="510">
        <f t="shared" ca="1" si="3"/>
        <v>1</v>
      </c>
      <c r="G20" s="477">
        <f t="shared" si="35"/>
        <v>0</v>
      </c>
      <c r="H20" s="477">
        <f t="shared" si="4"/>
        <v>0</v>
      </c>
      <c r="I20" s="477">
        <f t="shared" si="4"/>
        <v>0</v>
      </c>
      <c r="J20" s="477">
        <f t="shared" si="4"/>
        <v>0</v>
      </c>
      <c r="K20" s="477">
        <f t="shared" si="4"/>
        <v>1</v>
      </c>
      <c r="L20" s="566">
        <f t="shared" si="5"/>
        <v>0</v>
      </c>
      <c r="M20" s="477">
        <f t="shared" si="4"/>
        <v>0</v>
      </c>
      <c r="N20" s="477">
        <f t="shared" si="4"/>
        <v>0</v>
      </c>
      <c r="O20" s="478">
        <v>10</v>
      </c>
      <c r="P20" s="479">
        <v>43980</v>
      </c>
      <c r="Q20" s="480">
        <v>311.8</v>
      </c>
      <c r="R20" s="91">
        <f t="shared" si="6"/>
        <v>-3118</v>
      </c>
      <c r="S20" s="33" t="str">
        <f t="shared" si="7"/>
        <v/>
      </c>
      <c r="T20" s="481" t="s">
        <v>26</v>
      </c>
      <c r="U20" s="108">
        <f t="shared" si="8"/>
        <v>1</v>
      </c>
      <c r="V20" s="482">
        <v>-12.7</v>
      </c>
      <c r="W20" s="483"/>
      <c r="Y20" s="405">
        <f t="shared" si="9"/>
        <v>0</v>
      </c>
      <c r="Z20" s="454">
        <f t="shared" si="10"/>
        <v>-1</v>
      </c>
      <c r="AA20" s="578">
        <f t="shared" si="11"/>
        <v>0</v>
      </c>
      <c r="AB20" s="578">
        <f t="shared" si="12"/>
        <v>0</v>
      </c>
      <c r="AC20" s="405">
        <f t="shared" si="13"/>
        <v>0</v>
      </c>
      <c r="AD20" s="440">
        <f t="shared" si="14"/>
        <v>1</v>
      </c>
      <c r="AE20" s="413">
        <f t="shared" si="15"/>
        <v>0</v>
      </c>
      <c r="AF20" s="292">
        <f t="shared" si="16"/>
        <v>0</v>
      </c>
      <c r="AG20" s="322">
        <f t="shared" si="36"/>
        <v>0</v>
      </c>
      <c r="AH20" s="492">
        <f t="shared" si="17"/>
        <v>0</v>
      </c>
      <c r="AI20" s="491">
        <f t="shared" si="18"/>
        <v>0</v>
      </c>
      <c r="AJ20" s="322">
        <f t="shared" si="19"/>
        <v>0</v>
      </c>
      <c r="AK20" s="354">
        <f t="shared" si="20"/>
        <v>0</v>
      </c>
      <c r="AL20" s="328">
        <f t="shared" si="21"/>
        <v>0</v>
      </c>
      <c r="AM20" s="345">
        <f t="shared" si="22"/>
        <v>0</v>
      </c>
      <c r="AN20" s="352">
        <f t="shared" si="23"/>
        <v>0</v>
      </c>
      <c r="AP20" s="523">
        <f t="shared" si="24"/>
        <v>0</v>
      </c>
      <c r="AQ20" s="385">
        <f t="shared" si="37"/>
        <v>0</v>
      </c>
      <c r="AR20" s="400">
        <f t="shared" si="38"/>
        <v>0</v>
      </c>
      <c r="AS20" s="352">
        <f t="shared" si="25"/>
        <v>0</v>
      </c>
      <c r="AT20" s="108">
        <f t="shared" si="26"/>
        <v>0</v>
      </c>
      <c r="AU20" s="531">
        <f t="shared" si="39"/>
        <v>0</v>
      </c>
      <c r="AV20" s="395">
        <f t="shared" si="28"/>
        <v>0</v>
      </c>
      <c r="AW20" s="406" t="str">
        <f t="shared" si="29"/>
        <v/>
      </c>
      <c r="AX20" s="54">
        <f t="shared" si="30"/>
        <v>0</v>
      </c>
      <c r="AY20" s="127">
        <f t="shared" si="31"/>
        <v>-3130.7</v>
      </c>
      <c r="AZ20" s="37">
        <f t="shared" si="32"/>
        <v>2095.576</v>
      </c>
      <c r="BA20" s="40" t="s">
        <v>7</v>
      </c>
      <c r="BD20" s="141"/>
      <c r="BE20" s="141"/>
      <c r="BF20" s="141"/>
      <c r="BG20" s="141"/>
      <c r="BH20" s="141"/>
    </row>
    <row r="21" spans="1:60" s="12" customFormat="1" ht="13.9">
      <c r="A21" s="9" t="s">
        <v>7</v>
      </c>
      <c r="B21" s="945" t="str">
        <f t="shared" si="33"/>
        <v>Aktien historisch</v>
      </c>
      <c r="C21" s="475" t="s">
        <v>196</v>
      </c>
      <c r="D21" s="476" t="str">
        <f t="shared" si="34"/>
        <v>Aktie-2</v>
      </c>
      <c r="E21" s="562" t="str">
        <v>Aktie-2</v>
      </c>
      <c r="F21" s="510">
        <f t="shared" ca="1" si="3"/>
        <v>1</v>
      </c>
      <c r="G21" s="477">
        <f t="shared" si="35"/>
        <v>0</v>
      </c>
      <c r="H21" s="477">
        <f t="shared" si="4"/>
        <v>0</v>
      </c>
      <c r="I21" s="477">
        <f t="shared" si="4"/>
        <v>0</v>
      </c>
      <c r="J21" s="477">
        <f t="shared" si="4"/>
        <v>0</v>
      </c>
      <c r="K21" s="477">
        <f t="shared" si="4"/>
        <v>1</v>
      </c>
      <c r="L21" s="566">
        <f t="shared" si="5"/>
        <v>0</v>
      </c>
      <c r="M21" s="477">
        <f t="shared" si="4"/>
        <v>0</v>
      </c>
      <c r="N21" s="477">
        <f t="shared" si="4"/>
        <v>0</v>
      </c>
      <c r="O21" s="478">
        <v>-500</v>
      </c>
      <c r="P21" s="479">
        <v>43984</v>
      </c>
      <c r="Q21" s="480">
        <v>9.6020000000000003</v>
      </c>
      <c r="R21" s="91" t="str">
        <f>IF(O21&gt;0,-#REF!*O21,"")</f>
        <v/>
      </c>
      <c r="S21" s="33">
        <f t="shared" si="7"/>
        <v>4801</v>
      </c>
      <c r="T21" s="481" t="s">
        <v>26</v>
      </c>
      <c r="U21" s="108">
        <f t="shared" si="8"/>
        <v>1</v>
      </c>
      <c r="V21" s="482">
        <v>-16.899999999999999</v>
      </c>
      <c r="W21" s="483"/>
      <c r="Y21" s="405">
        <f t="shared" si="9"/>
        <v>0</v>
      </c>
      <c r="Z21" s="454">
        <f t="shared" si="10"/>
        <v>-1</v>
      </c>
      <c r="AA21" s="578">
        <f t="shared" si="11"/>
        <v>0</v>
      </c>
      <c r="AB21" s="578">
        <f t="shared" si="12"/>
        <v>0</v>
      </c>
      <c r="AC21" s="405">
        <f t="shared" si="13"/>
        <v>0</v>
      </c>
      <c r="AD21" s="440">
        <f t="shared" si="14"/>
        <v>1</v>
      </c>
      <c r="AE21" s="413">
        <f t="shared" si="15"/>
        <v>0</v>
      </c>
      <c r="AF21" s="292">
        <f t="shared" si="16"/>
        <v>0</v>
      </c>
      <c r="AG21" s="322">
        <f t="shared" si="36"/>
        <v>0</v>
      </c>
      <c r="AH21" s="492">
        <f t="shared" si="17"/>
        <v>0</v>
      </c>
      <c r="AI21" s="491">
        <f t="shared" si="18"/>
        <v>0</v>
      </c>
      <c r="AJ21" s="322">
        <f t="shared" si="19"/>
        <v>0</v>
      </c>
      <c r="AK21" s="354">
        <f t="shared" si="20"/>
        <v>0</v>
      </c>
      <c r="AL21" s="328">
        <f t="shared" si="21"/>
        <v>0</v>
      </c>
      <c r="AM21" s="345">
        <f t="shared" si="22"/>
        <v>0</v>
      </c>
      <c r="AN21" s="352">
        <f t="shared" si="23"/>
        <v>0</v>
      </c>
      <c r="AP21" s="523">
        <f t="shared" si="24"/>
        <v>0</v>
      </c>
      <c r="AQ21" s="385">
        <f t="shared" si="37"/>
        <v>0</v>
      </c>
      <c r="AR21" s="400">
        <f t="shared" si="38"/>
        <v>0</v>
      </c>
      <c r="AS21" s="352">
        <f t="shared" si="25"/>
        <v>0</v>
      </c>
      <c r="AT21" s="108">
        <f t="shared" si="26"/>
        <v>0</v>
      </c>
      <c r="AU21" s="531">
        <f t="shared" si="39"/>
        <v>0</v>
      </c>
      <c r="AV21" s="395">
        <f t="shared" si="28"/>
        <v>0</v>
      </c>
      <c r="AW21" s="406" t="str">
        <f t="shared" si="29"/>
        <v/>
      </c>
      <c r="AX21" s="54">
        <f t="shared" si="30"/>
        <v>0</v>
      </c>
      <c r="AY21" s="127">
        <f t="shared" si="31"/>
        <v>4784.1000000000004</v>
      </c>
      <c r="AZ21" s="37">
        <f t="shared" si="32"/>
        <v>6879.6760000000004</v>
      </c>
      <c r="BA21" s="40" t="s">
        <v>7</v>
      </c>
      <c r="BD21" s="141"/>
      <c r="BE21" s="141"/>
      <c r="BF21" s="141"/>
      <c r="BG21" s="141"/>
      <c r="BH21" s="141"/>
    </row>
    <row r="22" spans="1:60" s="12" customFormat="1" ht="13.9">
      <c r="A22" s="9" t="s">
        <v>7</v>
      </c>
      <c r="B22" s="945" t="str">
        <f t="shared" si="33"/>
        <v>Aktien historisch</v>
      </c>
      <c r="C22" s="475" t="s">
        <v>198</v>
      </c>
      <c r="D22" s="476" t="str">
        <f t="shared" si="34"/>
        <v>Aktie-4</v>
      </c>
      <c r="E22" s="562" t="str">
        <v>Aktie-2</v>
      </c>
      <c r="F22" s="510">
        <f t="shared" ca="1" si="3"/>
        <v>1</v>
      </c>
      <c r="G22" s="477">
        <f t="shared" si="35"/>
        <v>0</v>
      </c>
      <c r="H22" s="477">
        <f t="shared" si="4"/>
        <v>0</v>
      </c>
      <c r="I22" s="477">
        <f t="shared" si="4"/>
        <v>0</v>
      </c>
      <c r="J22" s="477">
        <f t="shared" si="4"/>
        <v>0</v>
      </c>
      <c r="K22" s="477">
        <f t="shared" si="4"/>
        <v>1</v>
      </c>
      <c r="L22" s="566">
        <f t="shared" si="5"/>
        <v>0</v>
      </c>
      <c r="M22" s="477">
        <f t="shared" si="4"/>
        <v>0</v>
      </c>
      <c r="N22" s="477">
        <f t="shared" si="4"/>
        <v>0</v>
      </c>
      <c r="O22" s="478">
        <v>14</v>
      </c>
      <c r="P22" s="479">
        <v>43984</v>
      </c>
      <c r="Q22" s="480">
        <v>317.39999999999998</v>
      </c>
      <c r="R22" s="91">
        <f t="shared" ref="R22:R28" si="40">IF(O22&gt;0,-Q22*O22,"")</f>
        <v>-4443.5999999999995</v>
      </c>
      <c r="S22" s="33" t="str">
        <f t="shared" si="7"/>
        <v/>
      </c>
      <c r="T22" s="481" t="s">
        <v>26</v>
      </c>
      <c r="U22" s="108">
        <f t="shared" si="8"/>
        <v>1</v>
      </c>
      <c r="V22" s="482">
        <v>-16.010000000000002</v>
      </c>
      <c r="W22" s="483"/>
      <c r="Y22" s="405">
        <f t="shared" si="9"/>
        <v>0</v>
      </c>
      <c r="Z22" s="454">
        <f t="shared" si="10"/>
        <v>-1</v>
      </c>
      <c r="AA22" s="578">
        <f t="shared" si="11"/>
        <v>0</v>
      </c>
      <c r="AB22" s="578">
        <f t="shared" si="12"/>
        <v>0</v>
      </c>
      <c r="AC22" s="405">
        <f t="shared" si="13"/>
        <v>0</v>
      </c>
      <c r="AD22" s="440">
        <f t="shared" si="14"/>
        <v>1</v>
      </c>
      <c r="AE22" s="413">
        <f t="shared" si="15"/>
        <v>0</v>
      </c>
      <c r="AF22" s="292">
        <f t="shared" si="16"/>
        <v>0</v>
      </c>
      <c r="AG22" s="322">
        <f t="shared" si="36"/>
        <v>0</v>
      </c>
      <c r="AH22" s="492">
        <f t="shared" si="17"/>
        <v>0</v>
      </c>
      <c r="AI22" s="491">
        <f t="shared" si="18"/>
        <v>0</v>
      </c>
      <c r="AJ22" s="322">
        <f t="shared" si="19"/>
        <v>0</v>
      </c>
      <c r="AK22" s="354">
        <f t="shared" si="20"/>
        <v>0</v>
      </c>
      <c r="AL22" s="328">
        <f t="shared" si="21"/>
        <v>0</v>
      </c>
      <c r="AM22" s="345">
        <f t="shared" si="22"/>
        <v>0</v>
      </c>
      <c r="AN22" s="352">
        <f t="shared" si="23"/>
        <v>0</v>
      </c>
      <c r="AP22" s="523">
        <f t="shared" si="24"/>
        <v>0</v>
      </c>
      <c r="AQ22" s="385">
        <f t="shared" si="37"/>
        <v>0</v>
      </c>
      <c r="AR22" s="400">
        <f t="shared" si="38"/>
        <v>0</v>
      </c>
      <c r="AS22" s="352">
        <f t="shared" si="25"/>
        <v>0</v>
      </c>
      <c r="AT22" s="108">
        <f t="shared" si="26"/>
        <v>0</v>
      </c>
      <c r="AU22" s="531">
        <f t="shared" si="39"/>
        <v>0</v>
      </c>
      <c r="AV22" s="395">
        <f t="shared" si="28"/>
        <v>0</v>
      </c>
      <c r="AW22" s="406" t="str">
        <f t="shared" si="29"/>
        <v/>
      </c>
      <c r="AX22" s="54">
        <f t="shared" si="30"/>
        <v>0</v>
      </c>
      <c r="AY22" s="127">
        <f t="shared" si="31"/>
        <v>-4459.6099999999997</v>
      </c>
      <c r="AZ22" s="37">
        <f t="shared" si="32"/>
        <v>2420.0660000000007</v>
      </c>
      <c r="BA22" s="40" t="s">
        <v>7</v>
      </c>
      <c r="BD22" s="141"/>
      <c r="BE22" s="141"/>
      <c r="BF22" s="141"/>
      <c r="BG22" s="141"/>
      <c r="BH22" s="141"/>
    </row>
    <row r="23" spans="1:60" s="12" customFormat="1" ht="13.9">
      <c r="A23" s="9" t="s">
        <v>7</v>
      </c>
      <c r="B23" s="945" t="str">
        <f t="shared" si="33"/>
        <v>Aktien historisch</v>
      </c>
      <c r="C23" s="475" t="s">
        <v>198</v>
      </c>
      <c r="D23" s="476" t="str">
        <f t="shared" si="34"/>
        <v>Aktie-4</v>
      </c>
      <c r="E23" s="562" t="str">
        <v>Aktie-3</v>
      </c>
      <c r="F23" s="510">
        <f t="shared" ca="1" si="3"/>
        <v>1</v>
      </c>
      <c r="G23" s="477">
        <f t="shared" si="35"/>
        <v>0</v>
      </c>
      <c r="H23" s="477">
        <f t="shared" si="4"/>
        <v>0</v>
      </c>
      <c r="I23" s="477">
        <f t="shared" si="4"/>
        <v>0</v>
      </c>
      <c r="J23" s="477">
        <f t="shared" si="4"/>
        <v>0</v>
      </c>
      <c r="K23" s="477">
        <f t="shared" si="4"/>
        <v>1</v>
      </c>
      <c r="L23" s="566">
        <f t="shared" si="5"/>
        <v>0</v>
      </c>
      <c r="M23" s="477">
        <f t="shared" si="4"/>
        <v>0</v>
      </c>
      <c r="N23" s="477">
        <f t="shared" si="4"/>
        <v>0</v>
      </c>
      <c r="O23" s="478">
        <v>-24</v>
      </c>
      <c r="P23" s="479">
        <v>43984</v>
      </c>
      <c r="Q23" s="480">
        <v>318</v>
      </c>
      <c r="R23" s="91" t="str">
        <f t="shared" si="40"/>
        <v/>
      </c>
      <c r="S23" s="33">
        <f t="shared" si="7"/>
        <v>7632</v>
      </c>
      <c r="T23" s="481" t="s">
        <v>26</v>
      </c>
      <c r="U23" s="108">
        <f t="shared" si="8"/>
        <v>1</v>
      </c>
      <c r="V23" s="482">
        <v>-5.7</v>
      </c>
      <c r="W23" s="483"/>
      <c r="Y23" s="405">
        <f t="shared" si="9"/>
        <v>0</v>
      </c>
      <c r="Z23" s="454">
        <f t="shared" si="10"/>
        <v>-1</v>
      </c>
      <c r="AA23" s="578">
        <f t="shared" si="11"/>
        <v>0</v>
      </c>
      <c r="AB23" s="578">
        <f t="shared" si="12"/>
        <v>0</v>
      </c>
      <c r="AC23" s="405">
        <f t="shared" si="13"/>
        <v>0</v>
      </c>
      <c r="AD23" s="440">
        <f t="shared" si="14"/>
        <v>1</v>
      </c>
      <c r="AE23" s="413">
        <f t="shared" si="15"/>
        <v>0</v>
      </c>
      <c r="AF23" s="292">
        <f t="shared" si="16"/>
        <v>0</v>
      </c>
      <c r="AG23" s="322">
        <f t="shared" si="36"/>
        <v>0</v>
      </c>
      <c r="AH23" s="492">
        <f t="shared" si="17"/>
        <v>0</v>
      </c>
      <c r="AI23" s="491">
        <f t="shared" si="18"/>
        <v>0</v>
      </c>
      <c r="AJ23" s="322">
        <f t="shared" si="19"/>
        <v>0</v>
      </c>
      <c r="AK23" s="354">
        <f t="shared" si="20"/>
        <v>0</v>
      </c>
      <c r="AL23" s="328">
        <f t="shared" si="21"/>
        <v>0</v>
      </c>
      <c r="AM23" s="345">
        <f t="shared" si="22"/>
        <v>0</v>
      </c>
      <c r="AN23" s="352">
        <f t="shared" si="23"/>
        <v>0</v>
      </c>
      <c r="AP23" s="523">
        <f t="shared" si="24"/>
        <v>0</v>
      </c>
      <c r="AQ23" s="385">
        <f t="shared" si="37"/>
        <v>0</v>
      </c>
      <c r="AR23" s="400">
        <f t="shared" si="38"/>
        <v>0</v>
      </c>
      <c r="AS23" s="352">
        <f t="shared" si="25"/>
        <v>0</v>
      </c>
      <c r="AT23" s="108">
        <f t="shared" si="26"/>
        <v>0</v>
      </c>
      <c r="AU23" s="531">
        <f t="shared" si="39"/>
        <v>0</v>
      </c>
      <c r="AV23" s="395">
        <f t="shared" si="28"/>
        <v>0</v>
      </c>
      <c r="AW23" s="406" t="str">
        <f t="shared" si="29"/>
        <v/>
      </c>
      <c r="AX23" s="54">
        <f t="shared" si="30"/>
        <v>0</v>
      </c>
      <c r="AY23" s="127">
        <f t="shared" si="31"/>
        <v>7626.3</v>
      </c>
      <c r="AZ23" s="37">
        <f t="shared" si="32"/>
        <v>10046.366000000002</v>
      </c>
      <c r="BA23" s="40" t="s">
        <v>7</v>
      </c>
      <c r="BD23" s="141"/>
      <c r="BE23" s="141"/>
      <c r="BF23" s="141"/>
      <c r="BG23" s="141"/>
      <c r="BH23" s="141"/>
    </row>
    <row r="24" spans="1:60" s="12" customFormat="1" ht="13.9">
      <c r="A24" s="9" t="s">
        <v>7</v>
      </c>
      <c r="B24" s="945" t="str">
        <f t="shared" si="33"/>
        <v>Aktien aktiv</v>
      </c>
      <c r="C24" s="475" t="s">
        <v>199</v>
      </c>
      <c r="D24" s="476" t="str">
        <f t="shared" si="34"/>
        <v>Aktie-5</v>
      </c>
      <c r="E24" s="562" t="str">
        <v>Aktie-4</v>
      </c>
      <c r="F24" s="510">
        <f t="shared" ca="1" si="3"/>
        <v>1</v>
      </c>
      <c r="G24" s="477">
        <f t="shared" si="35"/>
        <v>0</v>
      </c>
      <c r="H24" s="477">
        <f t="shared" si="4"/>
        <v>0</v>
      </c>
      <c r="I24" s="477">
        <f t="shared" si="4"/>
        <v>0</v>
      </c>
      <c r="J24" s="477">
        <f t="shared" si="4"/>
        <v>1</v>
      </c>
      <c r="K24" s="477">
        <f t="shared" si="4"/>
        <v>0</v>
      </c>
      <c r="L24" s="566">
        <f t="shared" si="5"/>
        <v>0</v>
      </c>
      <c r="M24" s="477">
        <f t="shared" si="4"/>
        <v>0</v>
      </c>
      <c r="N24" s="477">
        <f t="shared" si="4"/>
        <v>0</v>
      </c>
      <c r="O24" s="478">
        <v>2</v>
      </c>
      <c r="P24" s="479">
        <v>43986</v>
      </c>
      <c r="Q24" s="480">
        <v>1165.5</v>
      </c>
      <c r="R24" s="91">
        <f t="shared" si="40"/>
        <v>-2331</v>
      </c>
      <c r="S24" s="33" t="str">
        <f t="shared" si="7"/>
        <v/>
      </c>
      <c r="T24" s="481" t="s">
        <v>26</v>
      </c>
      <c r="U24" s="108">
        <f t="shared" si="8"/>
        <v>1</v>
      </c>
      <c r="V24" s="482">
        <v>-6.6000000000000005</v>
      </c>
      <c r="W24" s="483"/>
      <c r="Y24" s="405">
        <f t="shared" si="9"/>
        <v>1</v>
      </c>
      <c r="Z24" s="454">
        <f t="shared" si="10"/>
        <v>1</v>
      </c>
      <c r="AA24" s="578">
        <f t="shared" si="11"/>
        <v>0</v>
      </c>
      <c r="AB24" s="578">
        <f t="shared" si="12"/>
        <v>0</v>
      </c>
      <c r="AC24" s="405">
        <f t="shared" si="13"/>
        <v>0</v>
      </c>
      <c r="AD24" s="440">
        <f t="shared" si="14"/>
        <v>1</v>
      </c>
      <c r="AE24" s="413">
        <f t="shared" si="15"/>
        <v>0</v>
      </c>
      <c r="AF24" s="292">
        <f t="shared" si="16"/>
        <v>0</v>
      </c>
      <c r="AG24" s="322">
        <f t="shared" si="36"/>
        <v>0</v>
      </c>
      <c r="AH24" s="492">
        <f t="shared" si="17"/>
        <v>0</v>
      </c>
      <c r="AI24" s="491">
        <f t="shared" si="18"/>
        <v>0</v>
      </c>
      <c r="AJ24" s="322">
        <f t="shared" si="19"/>
        <v>0</v>
      </c>
      <c r="AK24" s="354">
        <f t="shared" si="20"/>
        <v>0</v>
      </c>
      <c r="AL24" s="328">
        <f t="shared" si="21"/>
        <v>0</v>
      </c>
      <c r="AM24" s="345">
        <f t="shared" si="22"/>
        <v>0</v>
      </c>
      <c r="AN24" s="352">
        <f t="shared" si="23"/>
        <v>0</v>
      </c>
      <c r="AP24" s="523">
        <f t="shared" si="24"/>
        <v>0</v>
      </c>
      <c r="AQ24" s="385">
        <f t="shared" si="37"/>
        <v>0</v>
      </c>
      <c r="AR24" s="400">
        <f t="shared" si="38"/>
        <v>0</v>
      </c>
      <c r="AS24" s="352">
        <f t="shared" si="25"/>
        <v>0</v>
      </c>
      <c r="AT24" s="108">
        <f t="shared" si="26"/>
        <v>0</v>
      </c>
      <c r="AU24" s="531">
        <f t="shared" si="39"/>
        <v>0</v>
      </c>
      <c r="AV24" s="395">
        <f t="shared" si="28"/>
        <v>0</v>
      </c>
      <c r="AW24" s="406" t="str">
        <f t="shared" si="29"/>
        <v/>
      </c>
      <c r="AX24" s="54">
        <f t="shared" si="30"/>
        <v>0</v>
      </c>
      <c r="AY24" s="127">
        <f t="shared" si="31"/>
        <v>-2337.6</v>
      </c>
      <c r="AZ24" s="37">
        <f t="shared" si="32"/>
        <v>7708.7660000000014</v>
      </c>
      <c r="BA24" s="40" t="s">
        <v>7</v>
      </c>
      <c r="BD24" s="141"/>
      <c r="BE24" s="141"/>
      <c r="BF24" s="141"/>
      <c r="BG24" s="141"/>
      <c r="BH24" s="141"/>
    </row>
    <row r="25" spans="1:60" s="12" customFormat="1" ht="13.9">
      <c r="A25" s="9" t="s">
        <v>7</v>
      </c>
      <c r="B25" s="945" t="str">
        <f t="shared" si="33"/>
        <v>$-Bank</v>
      </c>
      <c r="C25" s="475" t="s">
        <v>25</v>
      </c>
      <c r="D25" s="476" t="str">
        <f t="shared" si="34"/>
        <v/>
      </c>
      <c r="E25" s="562" t="str">
        <v>Aktie-4</v>
      </c>
      <c r="F25" s="510">
        <f t="shared" ca="1" si="3"/>
        <v>1</v>
      </c>
      <c r="G25" s="477">
        <f t="shared" si="35"/>
        <v>0</v>
      </c>
      <c r="H25" s="477">
        <f t="shared" si="4"/>
        <v>0</v>
      </c>
      <c r="I25" s="477">
        <f t="shared" si="4"/>
        <v>1</v>
      </c>
      <c r="J25" s="477">
        <f t="shared" si="4"/>
        <v>0</v>
      </c>
      <c r="K25" s="477">
        <f t="shared" si="4"/>
        <v>0</v>
      </c>
      <c r="L25" s="566">
        <f t="shared" si="5"/>
        <v>0</v>
      </c>
      <c r="M25" s="477">
        <f t="shared" si="4"/>
        <v>0</v>
      </c>
      <c r="N25" s="477">
        <f t="shared" si="4"/>
        <v>0</v>
      </c>
      <c r="O25" s="478" t="s">
        <v>36</v>
      </c>
      <c r="P25" s="479">
        <v>44001</v>
      </c>
      <c r="Q25" s="480"/>
      <c r="R25" s="91" t="str">
        <f t="shared" si="40"/>
        <v/>
      </c>
      <c r="S25" s="33" t="str">
        <f t="shared" si="7"/>
        <v/>
      </c>
      <c r="T25" s="481" t="s">
        <v>26</v>
      </c>
      <c r="U25" s="108">
        <f t="shared" si="8"/>
        <v>1</v>
      </c>
      <c r="V25" s="482">
        <v>-3.8</v>
      </c>
      <c r="W25" s="483"/>
      <c r="Y25" s="405">
        <f t="shared" si="9"/>
        <v>0</v>
      </c>
      <c r="Z25" s="454">
        <f t="shared" si="10"/>
        <v>0</v>
      </c>
      <c r="AA25" s="578">
        <f t="shared" si="11"/>
        <v>0</v>
      </c>
      <c r="AB25" s="578">
        <f t="shared" si="12"/>
        <v>0</v>
      </c>
      <c r="AC25" s="405">
        <f t="shared" si="13"/>
        <v>0</v>
      </c>
      <c r="AD25" s="440">
        <f t="shared" si="14"/>
        <v>1</v>
      </c>
      <c r="AE25" s="413">
        <f t="shared" si="15"/>
        <v>0</v>
      </c>
      <c r="AF25" s="292">
        <f t="shared" si="16"/>
        <v>0</v>
      </c>
      <c r="AG25" s="322">
        <f t="shared" si="36"/>
        <v>0</v>
      </c>
      <c r="AH25" s="492">
        <f t="shared" si="17"/>
        <v>0</v>
      </c>
      <c r="AI25" s="491">
        <f t="shared" si="18"/>
        <v>0</v>
      </c>
      <c r="AJ25" s="322">
        <f t="shared" si="19"/>
        <v>0</v>
      </c>
      <c r="AK25" s="354">
        <f t="shared" si="20"/>
        <v>0</v>
      </c>
      <c r="AL25" s="328">
        <f t="shared" si="21"/>
        <v>0</v>
      </c>
      <c r="AM25" s="345">
        <f t="shared" si="22"/>
        <v>0</v>
      </c>
      <c r="AN25" s="352">
        <f t="shared" si="23"/>
        <v>0</v>
      </c>
      <c r="AP25" s="523">
        <f t="shared" si="24"/>
        <v>0</v>
      </c>
      <c r="AQ25" s="385">
        <f t="shared" si="37"/>
        <v>0</v>
      </c>
      <c r="AR25" s="400">
        <f t="shared" si="38"/>
        <v>0</v>
      </c>
      <c r="AS25" s="352">
        <f t="shared" si="25"/>
        <v>0</v>
      </c>
      <c r="AT25" s="108">
        <f t="shared" si="26"/>
        <v>0</v>
      </c>
      <c r="AU25" s="531">
        <f t="shared" si="39"/>
        <v>0</v>
      </c>
      <c r="AV25" s="395">
        <f t="shared" si="28"/>
        <v>0</v>
      </c>
      <c r="AW25" s="406" t="str">
        <f t="shared" si="29"/>
        <v/>
      </c>
      <c r="AX25" s="54">
        <f t="shared" si="30"/>
        <v>0</v>
      </c>
      <c r="AY25" s="127">
        <f t="shared" si="31"/>
        <v>-3.8</v>
      </c>
      <c r="AZ25" s="37">
        <f t="shared" si="32"/>
        <v>7704.9660000000013</v>
      </c>
      <c r="BA25" s="40" t="s">
        <v>7</v>
      </c>
      <c r="BD25" s="141"/>
      <c r="BE25" s="141"/>
      <c r="BF25" s="141"/>
      <c r="BG25" s="141"/>
      <c r="BH25" s="141"/>
    </row>
    <row r="26" spans="1:60" s="12" customFormat="1" ht="13.9">
      <c r="A26" s="9" t="s">
        <v>7</v>
      </c>
      <c r="B26" s="945" t="str">
        <f t="shared" si="33"/>
        <v>Aktien aktiv</v>
      </c>
      <c r="C26" s="475" t="s">
        <v>200</v>
      </c>
      <c r="D26" s="476" t="str">
        <f t="shared" si="34"/>
        <v>Aktie-6</v>
      </c>
      <c r="E26" s="562" t="str">
        <v>Aktie-4</v>
      </c>
      <c r="F26" s="510">
        <f t="shared" ca="1" si="3"/>
        <v>1</v>
      </c>
      <c r="G26" s="477">
        <f t="shared" si="35"/>
        <v>0</v>
      </c>
      <c r="H26" s="477">
        <f t="shared" si="4"/>
        <v>0</v>
      </c>
      <c r="I26" s="477">
        <f t="shared" si="4"/>
        <v>0</v>
      </c>
      <c r="J26" s="477">
        <f t="shared" si="4"/>
        <v>1</v>
      </c>
      <c r="K26" s="477">
        <f t="shared" si="4"/>
        <v>0</v>
      </c>
      <c r="L26" s="566">
        <f t="shared" si="5"/>
        <v>0</v>
      </c>
      <c r="M26" s="477">
        <f t="shared" si="4"/>
        <v>0</v>
      </c>
      <c r="N26" s="477">
        <f t="shared" si="4"/>
        <v>0</v>
      </c>
      <c r="O26" s="478">
        <v>200</v>
      </c>
      <c r="P26" s="479">
        <v>44002</v>
      </c>
      <c r="Q26" s="480">
        <v>22</v>
      </c>
      <c r="R26" s="91">
        <f t="shared" si="40"/>
        <v>-4400</v>
      </c>
      <c r="S26" s="33" t="str">
        <f t="shared" si="7"/>
        <v/>
      </c>
      <c r="T26" s="481" t="s">
        <v>26</v>
      </c>
      <c r="U26" s="108">
        <f t="shared" si="8"/>
        <v>1</v>
      </c>
      <c r="V26" s="482">
        <v>-15.9</v>
      </c>
      <c r="W26" s="483"/>
      <c r="Y26" s="405">
        <f t="shared" si="9"/>
        <v>1</v>
      </c>
      <c r="Z26" s="454">
        <f t="shared" si="10"/>
        <v>1</v>
      </c>
      <c r="AA26" s="578">
        <f t="shared" si="11"/>
        <v>0</v>
      </c>
      <c r="AB26" s="578">
        <f t="shared" si="12"/>
        <v>0</v>
      </c>
      <c r="AC26" s="405">
        <f t="shared" si="13"/>
        <v>0</v>
      </c>
      <c r="AD26" s="440">
        <f t="shared" si="14"/>
        <v>1</v>
      </c>
      <c r="AE26" s="413">
        <f t="shared" si="15"/>
        <v>0</v>
      </c>
      <c r="AF26" s="292">
        <f t="shared" si="16"/>
        <v>0</v>
      </c>
      <c r="AG26" s="322">
        <f t="shared" si="36"/>
        <v>0</v>
      </c>
      <c r="AH26" s="492">
        <f t="shared" si="17"/>
        <v>0</v>
      </c>
      <c r="AI26" s="491">
        <f t="shared" si="18"/>
        <v>0</v>
      </c>
      <c r="AJ26" s="322">
        <f t="shared" si="19"/>
        <v>0</v>
      </c>
      <c r="AK26" s="354">
        <f t="shared" si="20"/>
        <v>0</v>
      </c>
      <c r="AL26" s="328">
        <f t="shared" si="21"/>
        <v>0</v>
      </c>
      <c r="AM26" s="345">
        <f t="shared" si="22"/>
        <v>0</v>
      </c>
      <c r="AN26" s="352">
        <f t="shared" si="23"/>
        <v>0</v>
      </c>
      <c r="AP26" s="523">
        <f t="shared" si="24"/>
        <v>0</v>
      </c>
      <c r="AQ26" s="385">
        <f t="shared" si="37"/>
        <v>0</v>
      </c>
      <c r="AR26" s="400">
        <f t="shared" si="38"/>
        <v>0</v>
      </c>
      <c r="AS26" s="352">
        <f t="shared" si="25"/>
        <v>0</v>
      </c>
      <c r="AT26" s="108">
        <f t="shared" si="26"/>
        <v>0</v>
      </c>
      <c r="AU26" s="531">
        <f t="shared" si="39"/>
        <v>0</v>
      </c>
      <c r="AV26" s="395">
        <f t="shared" si="28"/>
        <v>0</v>
      </c>
      <c r="AW26" s="406" t="str">
        <f t="shared" si="29"/>
        <v/>
      </c>
      <c r="AX26" s="54">
        <f t="shared" si="30"/>
        <v>0</v>
      </c>
      <c r="AY26" s="127">
        <f t="shared" si="31"/>
        <v>-4415.8999999999996</v>
      </c>
      <c r="AZ26" s="37">
        <f t="shared" si="32"/>
        <v>3289.0660000000016</v>
      </c>
      <c r="BA26" s="40" t="s">
        <v>7</v>
      </c>
      <c r="BD26" s="141"/>
      <c r="BE26" s="141"/>
      <c r="BF26" s="141"/>
      <c r="BG26" s="141"/>
      <c r="BH26" s="141"/>
    </row>
    <row r="27" spans="1:60" s="12" customFormat="1" ht="13.9">
      <c r="A27" s="9" t="s">
        <v>7</v>
      </c>
      <c r="B27" s="945" t="str">
        <f t="shared" si="33"/>
        <v>Aktien aktiv</v>
      </c>
      <c r="C27" s="475" t="s">
        <v>200</v>
      </c>
      <c r="D27" s="476" t="str">
        <f t="shared" si="34"/>
        <v>Aktie-6</v>
      </c>
      <c r="E27" s="562" t="str">
        <v>Aktie-5</v>
      </c>
      <c r="F27" s="510">
        <f t="shared" ca="1" si="3"/>
        <v>1</v>
      </c>
      <c r="G27" s="477">
        <f t="shared" si="35"/>
        <v>0</v>
      </c>
      <c r="H27" s="477">
        <f t="shared" si="4"/>
        <v>0</v>
      </c>
      <c r="I27" s="477">
        <f t="shared" si="4"/>
        <v>0</v>
      </c>
      <c r="J27" s="477">
        <f t="shared" si="4"/>
        <v>1</v>
      </c>
      <c r="K27" s="477">
        <f t="shared" si="4"/>
        <v>0</v>
      </c>
      <c r="L27" s="566">
        <f t="shared" si="5"/>
        <v>0</v>
      </c>
      <c r="M27" s="477">
        <f t="shared" si="4"/>
        <v>0</v>
      </c>
      <c r="N27" s="477">
        <f t="shared" si="4"/>
        <v>0</v>
      </c>
      <c r="O27" s="478">
        <v>100</v>
      </c>
      <c r="P27" s="479">
        <v>44007</v>
      </c>
      <c r="Q27" s="480">
        <v>12.79</v>
      </c>
      <c r="R27" s="91">
        <f t="shared" si="40"/>
        <v>-1279</v>
      </c>
      <c r="S27" s="33" t="str">
        <f t="shared" si="7"/>
        <v/>
      </c>
      <c r="T27" s="481" t="s">
        <v>26</v>
      </c>
      <c r="U27" s="108">
        <f t="shared" si="8"/>
        <v>1</v>
      </c>
      <c r="V27" s="482">
        <v>-5.6</v>
      </c>
      <c r="W27" s="483"/>
      <c r="Y27" s="405">
        <f t="shared" si="9"/>
        <v>1</v>
      </c>
      <c r="Z27" s="454">
        <f t="shared" si="10"/>
        <v>1</v>
      </c>
      <c r="AA27" s="578">
        <f t="shared" si="11"/>
        <v>0</v>
      </c>
      <c r="AB27" s="578">
        <f t="shared" si="12"/>
        <v>0</v>
      </c>
      <c r="AC27" s="405">
        <f t="shared" si="13"/>
        <v>0</v>
      </c>
      <c r="AD27" s="440">
        <f t="shared" si="14"/>
        <v>1</v>
      </c>
      <c r="AE27" s="413">
        <f t="shared" si="15"/>
        <v>0</v>
      </c>
      <c r="AF27" s="292">
        <f t="shared" si="16"/>
        <v>0</v>
      </c>
      <c r="AG27" s="322">
        <f t="shared" si="36"/>
        <v>0</v>
      </c>
      <c r="AH27" s="492">
        <f t="shared" si="17"/>
        <v>0</v>
      </c>
      <c r="AI27" s="491">
        <f t="shared" si="18"/>
        <v>0</v>
      </c>
      <c r="AJ27" s="322">
        <f t="shared" si="19"/>
        <v>0</v>
      </c>
      <c r="AK27" s="354">
        <f t="shared" si="20"/>
        <v>0</v>
      </c>
      <c r="AL27" s="328">
        <f t="shared" si="21"/>
        <v>0</v>
      </c>
      <c r="AM27" s="345">
        <f t="shared" si="22"/>
        <v>0</v>
      </c>
      <c r="AN27" s="352">
        <f t="shared" si="23"/>
        <v>0</v>
      </c>
      <c r="AP27" s="523">
        <f t="shared" si="24"/>
        <v>0</v>
      </c>
      <c r="AQ27" s="385">
        <f t="shared" si="37"/>
        <v>0</v>
      </c>
      <c r="AR27" s="400">
        <f t="shared" si="38"/>
        <v>0</v>
      </c>
      <c r="AS27" s="352">
        <f t="shared" si="25"/>
        <v>0</v>
      </c>
      <c r="AT27" s="108">
        <f t="shared" si="26"/>
        <v>0</v>
      </c>
      <c r="AU27" s="531">
        <f t="shared" si="39"/>
        <v>0</v>
      </c>
      <c r="AV27" s="395">
        <f t="shared" si="28"/>
        <v>0</v>
      </c>
      <c r="AW27" s="406" t="str">
        <f t="shared" si="29"/>
        <v/>
      </c>
      <c r="AX27" s="54">
        <f t="shared" si="30"/>
        <v>0</v>
      </c>
      <c r="AY27" s="127">
        <f t="shared" si="31"/>
        <v>-1284.5999999999999</v>
      </c>
      <c r="AZ27" s="37">
        <f t="shared" si="32"/>
        <v>2004.4660000000017</v>
      </c>
      <c r="BA27" s="40" t="s">
        <v>7</v>
      </c>
      <c r="BD27" s="141"/>
      <c r="BE27" s="141"/>
      <c r="BF27" s="141"/>
      <c r="BG27" s="141"/>
      <c r="BH27" s="141"/>
    </row>
    <row r="28" spans="1:60" s="12" customFormat="1" ht="13.9">
      <c r="A28" s="9" t="s">
        <v>7</v>
      </c>
      <c r="B28" s="945" t="str">
        <f t="shared" si="33"/>
        <v/>
      </c>
      <c r="C28" s="475"/>
      <c r="D28" s="476" t="str">
        <f t="shared" si="34"/>
        <v/>
      </c>
      <c r="E28" s="562" t="str">
        <v>Aktie-6</v>
      </c>
      <c r="F28" s="510">
        <f t="shared" ca="1" si="3"/>
        <v>1</v>
      </c>
      <c r="G28" s="477">
        <f t="shared" si="35"/>
        <v>0</v>
      </c>
      <c r="H28" s="477">
        <f t="shared" si="4"/>
        <v>0</v>
      </c>
      <c r="I28" s="477">
        <f t="shared" si="4"/>
        <v>0</v>
      </c>
      <c r="J28" s="477">
        <f t="shared" si="4"/>
        <v>0</v>
      </c>
      <c r="K28" s="477">
        <f t="shared" si="4"/>
        <v>0</v>
      </c>
      <c r="L28" s="566">
        <f t="shared" si="5"/>
        <v>0</v>
      </c>
      <c r="M28" s="477">
        <f t="shared" si="4"/>
        <v>0</v>
      </c>
      <c r="N28" s="477">
        <f t="shared" si="4"/>
        <v>0</v>
      </c>
      <c r="O28" s="478"/>
      <c r="P28" s="479"/>
      <c r="Q28" s="480"/>
      <c r="R28" s="91" t="str">
        <f t="shared" si="40"/>
        <v/>
      </c>
      <c r="S28" s="33" t="str">
        <f t="shared" si="7"/>
        <v/>
      </c>
      <c r="T28" s="481" t="s">
        <v>26</v>
      </c>
      <c r="U28" s="108">
        <f t="shared" si="8"/>
        <v>0</v>
      </c>
      <c r="V28" s="482"/>
      <c r="W28" s="483"/>
      <c r="Y28" s="405">
        <f t="shared" si="9"/>
        <v>0</v>
      </c>
      <c r="Z28" s="454">
        <f t="shared" si="10"/>
        <v>0</v>
      </c>
      <c r="AA28" s="578">
        <f t="shared" si="11"/>
        <v>0</v>
      </c>
      <c r="AB28" s="578">
        <f t="shared" si="12"/>
        <v>0</v>
      </c>
      <c r="AC28" s="405">
        <f t="shared" si="13"/>
        <v>0</v>
      </c>
      <c r="AD28" s="440" t="str">
        <f t="shared" si="14"/>
        <v/>
      </c>
      <c r="AE28" s="413">
        <f t="shared" si="15"/>
        <v>0</v>
      </c>
      <c r="AF28" s="292">
        <f t="shared" si="16"/>
        <v>0</v>
      </c>
      <c r="AG28" s="322">
        <f t="shared" si="36"/>
        <v>0</v>
      </c>
      <c r="AH28" s="492">
        <f t="shared" si="17"/>
        <v>0</v>
      </c>
      <c r="AI28" s="491">
        <f t="shared" si="18"/>
        <v>0</v>
      </c>
      <c r="AJ28" s="322">
        <f t="shared" si="19"/>
        <v>0</v>
      </c>
      <c r="AK28" s="354">
        <f t="shared" si="20"/>
        <v>0</v>
      </c>
      <c r="AL28" s="328">
        <f t="shared" si="21"/>
        <v>0</v>
      </c>
      <c r="AM28" s="345">
        <f t="shared" si="22"/>
        <v>0</v>
      </c>
      <c r="AN28" s="352">
        <f t="shared" si="23"/>
        <v>0</v>
      </c>
      <c r="AP28" s="523">
        <f t="shared" si="24"/>
        <v>0</v>
      </c>
      <c r="AQ28" s="385">
        <f t="shared" si="37"/>
        <v>0</v>
      </c>
      <c r="AR28" s="400">
        <f t="shared" si="38"/>
        <v>0</v>
      </c>
      <c r="AS28" s="352">
        <f t="shared" si="25"/>
        <v>0</v>
      </c>
      <c r="AT28" s="108">
        <f t="shared" si="26"/>
        <v>0</v>
      </c>
      <c r="AU28" s="531">
        <f t="shared" si="39"/>
        <v>0</v>
      </c>
      <c r="AV28" s="395">
        <f t="shared" si="28"/>
        <v>0</v>
      </c>
      <c r="AW28" s="406">
        <f t="shared" si="29"/>
        <v>0</v>
      </c>
      <c r="AX28" s="54">
        <f t="shared" ref="AX28" si="41">IF(AZ28=AZ27,AX27+1,0)</f>
        <v>1</v>
      </c>
      <c r="AY28" s="127">
        <f t="shared" si="31"/>
        <v>0</v>
      </c>
      <c r="AZ28" s="37">
        <f t="shared" ref="AZ28" si="42">+AZ27+AY28</f>
        <v>2004.4660000000017</v>
      </c>
      <c r="BA28" s="40" t="s">
        <v>7</v>
      </c>
      <c r="BD28" s="141"/>
      <c r="BE28" s="141"/>
      <c r="BF28" s="141"/>
      <c r="BG28" s="141"/>
      <c r="BH28" s="141"/>
    </row>
    <row r="29" spans="1:60" s="12" customFormat="1" ht="13.9">
      <c r="A29" s="9" t="s">
        <v>7</v>
      </c>
      <c r="B29" s="945" t="str">
        <f t="shared" ref="B29:B31" si="43">IF(C29="","",IF(C29="§-AGS","§-AGS",IF(C29="€-Einlage","€-Einlage",IF(C29="$-Bank","$-Bank",IF(OR(AA29=1,AB29=1),"!&gt;Einzelauswahl",IF(Z29&gt;0,"Aktien aktiv",IF(Z29&lt;0,"Aktien historisch","")))))))</f>
        <v/>
      </c>
      <c r="C29" s="475"/>
      <c r="D29" s="476" t="str">
        <f t="shared" ref="D29:D31" si="44">IF(OR(C29="§-AGS",C29="€-Einlage",C29="$-Bank"),"",+C29)</f>
        <v/>
      </c>
      <c r="E29" s="562" t="str">
        <v>Aktie-6</v>
      </c>
      <c r="F29" s="510">
        <f t="shared" ca="1" si="3"/>
        <v>1</v>
      </c>
      <c r="G29" s="477">
        <f t="shared" ref="G29:N31" si="45">IF(G$13=$B29,1,0)</f>
        <v>0</v>
      </c>
      <c r="H29" s="477">
        <f t="shared" si="4"/>
        <v>0</v>
      </c>
      <c r="I29" s="477">
        <f t="shared" si="4"/>
        <v>0</v>
      </c>
      <c r="J29" s="477">
        <f t="shared" si="4"/>
        <v>0</v>
      </c>
      <c r="K29" s="477">
        <f t="shared" si="4"/>
        <v>0</v>
      </c>
      <c r="L29" s="566">
        <f t="shared" si="5"/>
        <v>0</v>
      </c>
      <c r="M29" s="477">
        <f t="shared" si="4"/>
        <v>0</v>
      </c>
      <c r="N29" s="477">
        <f t="shared" si="4"/>
        <v>0</v>
      </c>
      <c r="O29" s="478"/>
      <c r="P29" s="479"/>
      <c r="Q29" s="480"/>
      <c r="R29" s="91" t="str">
        <f t="shared" ref="R29:R31" si="46">IF(O29&gt;0,-Q29*O29,"")</f>
        <v/>
      </c>
      <c r="S29" s="33" t="str">
        <f t="shared" ref="S29:S31" si="47">IF(O29&lt;0,-O29*Q29,"")</f>
        <v/>
      </c>
      <c r="T29" s="481" t="s">
        <v>26</v>
      </c>
      <c r="U29" s="108">
        <f t="shared" ref="U29:U31" si="48">IF(P29&gt;0,1,0)</f>
        <v>0</v>
      </c>
      <c r="V29" s="482"/>
      <c r="W29" s="483"/>
      <c r="Y29" s="405">
        <f t="shared" si="9"/>
        <v>0</v>
      </c>
      <c r="Z29" s="454">
        <f t="shared" si="10"/>
        <v>0</v>
      </c>
      <c r="AA29" s="578">
        <f t="shared" si="11"/>
        <v>0</v>
      </c>
      <c r="AB29" s="578">
        <f t="shared" si="12"/>
        <v>0</v>
      </c>
      <c r="AC29" s="405">
        <f t="shared" ref="AC29:AC31" si="49">IF(AND(C29&lt;&gt;"",AND(C29=$AE$6,B29="!&gt;Einzelauswahl")),1,0)</f>
        <v>0</v>
      </c>
      <c r="AD29" s="440" t="str">
        <f t="shared" ref="AD29:AD31" si="50">IF(C29&lt;&gt;"",1,"")</f>
        <v/>
      </c>
      <c r="AE29" s="413">
        <f t="shared" ref="AE29:AE31" si="51">IF(AND(C29=$AE$6,O29&gt;0),+O29,0)</f>
        <v>0</v>
      </c>
      <c r="AF29" s="292">
        <f t="shared" ref="AF29:AF31" si="52">IF(AND(C29=$AE$6,O29&lt;0),+O29,0)</f>
        <v>0</v>
      </c>
      <c r="AG29" s="322">
        <f t="shared" ref="AG29:AG31" si="53">+AG28+AE29+AF29</f>
        <v>0</v>
      </c>
      <c r="AH29" s="492">
        <f t="shared" ref="AH29:AH31" si="54">IF(C29=$AE$6,+AH28+AE29-AI28,+AH28)</f>
        <v>0</v>
      </c>
      <c r="AI29" s="491">
        <f t="shared" ref="AI29:AI31" si="55">IF(C29&lt;&gt;$AE$6,+AI28,IF(AH29&gt;0,IF(AH29&gt;AJ28,+AJ28,+AH29),0))</f>
        <v>0</v>
      </c>
      <c r="AJ29" s="322">
        <f t="shared" ref="AJ29:AJ31" si="56">IF(C29=$AE$6,+AJ28-AI29,+AJ28)</f>
        <v>0</v>
      </c>
      <c r="AK29" s="354">
        <f t="shared" ref="AK29:AK31" si="57">IF(C29=$AE$6,+AI29,0)</f>
        <v>0</v>
      </c>
      <c r="AL29" s="328">
        <f t="shared" ref="AL29:AL31" si="58">-AK29*Q29</f>
        <v>0</v>
      </c>
      <c r="AM29" s="345">
        <f t="shared" ref="AM29:AM31" si="59">AK29*$AM$6</f>
        <v>0</v>
      </c>
      <c r="AN29" s="352">
        <f t="shared" ref="AN29:AN31" si="60">+AM29+AL29</f>
        <v>0</v>
      </c>
      <c r="AP29" s="523">
        <f t="shared" ref="AP29:AP31" si="61">IF(AND(C29=$AP$6,AH29&gt;0,O29&gt;0),IF(AH29&gt;=O29,O29-AK29,AH29-AK29),0)</f>
        <v>0</v>
      </c>
      <c r="AQ29" s="385">
        <f t="shared" ref="AQ29:AQ31" si="62">-AP29*Q29</f>
        <v>0</v>
      </c>
      <c r="AR29" s="400">
        <f t="shared" ref="AR29:AR31" si="63">+AP29*$AR$6</f>
        <v>0</v>
      </c>
      <c r="AS29" s="352">
        <f t="shared" ref="AS29:AS31" si="64">+AR29+AQ29</f>
        <v>0</v>
      </c>
      <c r="AT29" s="108">
        <f t="shared" ref="AT29:AT31" si="65">IF(AO29&gt;0,1,0)</f>
        <v>0</v>
      </c>
      <c r="AU29" s="531">
        <f t="shared" ref="AU29:AU31" si="66">IF($AQ$6=0,+AP29,AK29)</f>
        <v>0</v>
      </c>
      <c r="AV29" s="395">
        <f t="shared" ref="AV29:AV31" si="67">IF(C29=$AV$6,IF($AQ$6=0,AS29,AN29),0)</f>
        <v>0</v>
      </c>
      <c r="AW29" s="406">
        <f t="shared" ref="AW29:AW31" si="68">IF(C29=$AV$6,IF($AQ$6=0,IF(AQ29&lt;&gt;0,AV29/-AQ29,0),IF(AL29&lt;&gt;0,AV29/-AL29,0)),"")</f>
        <v>0</v>
      </c>
      <c r="AX29" s="54">
        <f t="shared" ref="AX29:AX31" si="69">IF(AZ29=AZ28,AX28+1,0)</f>
        <v>2</v>
      </c>
      <c r="AY29" s="127">
        <f t="shared" ref="AY29:AY31" si="70">+R29+S29+T29+V29+W29</f>
        <v>0</v>
      </c>
      <c r="AZ29" s="37">
        <f t="shared" ref="AZ29:AZ31" si="71">+AZ28+AY29</f>
        <v>2004.4660000000017</v>
      </c>
      <c r="BA29" s="40" t="s">
        <v>7</v>
      </c>
      <c r="BD29" s="141"/>
      <c r="BE29" s="141"/>
      <c r="BF29" s="141"/>
      <c r="BG29" s="141"/>
      <c r="BH29" s="141"/>
    </row>
    <row r="30" spans="1:60" s="12" customFormat="1" ht="13.9">
      <c r="A30" s="9" t="s">
        <v>7</v>
      </c>
      <c r="B30" s="945" t="str">
        <f t="shared" si="43"/>
        <v/>
      </c>
      <c r="C30" s="475"/>
      <c r="D30" s="476" t="str">
        <f t="shared" si="44"/>
        <v/>
      </c>
      <c r="E30" s="562"/>
      <c r="F30" s="510">
        <f t="shared" ca="1" si="3"/>
        <v>1</v>
      </c>
      <c r="G30" s="477">
        <f t="shared" si="45"/>
        <v>0</v>
      </c>
      <c r="H30" s="477">
        <f t="shared" si="45"/>
        <v>0</v>
      </c>
      <c r="I30" s="477">
        <f t="shared" si="45"/>
        <v>0</v>
      </c>
      <c r="J30" s="477">
        <f t="shared" si="45"/>
        <v>0</v>
      </c>
      <c r="K30" s="477">
        <f t="shared" si="45"/>
        <v>0</v>
      </c>
      <c r="L30" s="566">
        <f t="shared" si="5"/>
        <v>0</v>
      </c>
      <c r="M30" s="477">
        <f t="shared" si="45"/>
        <v>0</v>
      </c>
      <c r="N30" s="477">
        <f t="shared" si="45"/>
        <v>0</v>
      </c>
      <c r="O30" s="478"/>
      <c r="P30" s="479"/>
      <c r="Q30" s="480"/>
      <c r="R30" s="91" t="str">
        <f t="shared" si="46"/>
        <v/>
      </c>
      <c r="S30" s="33" t="str">
        <f t="shared" si="47"/>
        <v/>
      </c>
      <c r="T30" s="481" t="s">
        <v>26</v>
      </c>
      <c r="U30" s="108">
        <f t="shared" si="48"/>
        <v>0</v>
      </c>
      <c r="V30" s="482"/>
      <c r="W30" s="483"/>
      <c r="Y30" s="405">
        <f t="shared" si="9"/>
        <v>0</v>
      </c>
      <c r="Z30" s="454">
        <f t="shared" si="10"/>
        <v>0</v>
      </c>
      <c r="AA30" s="578">
        <f t="shared" si="11"/>
        <v>0</v>
      </c>
      <c r="AB30" s="578">
        <f t="shared" si="12"/>
        <v>0</v>
      </c>
      <c r="AC30" s="405">
        <f t="shared" si="49"/>
        <v>0</v>
      </c>
      <c r="AD30" s="440" t="str">
        <f t="shared" si="50"/>
        <v/>
      </c>
      <c r="AE30" s="413">
        <f t="shared" si="51"/>
        <v>0</v>
      </c>
      <c r="AF30" s="292">
        <f t="shared" si="52"/>
        <v>0</v>
      </c>
      <c r="AG30" s="322">
        <f t="shared" si="53"/>
        <v>0</v>
      </c>
      <c r="AH30" s="492">
        <f t="shared" si="54"/>
        <v>0</v>
      </c>
      <c r="AI30" s="491">
        <f t="shared" si="55"/>
        <v>0</v>
      </c>
      <c r="AJ30" s="322">
        <f t="shared" si="56"/>
        <v>0</v>
      </c>
      <c r="AK30" s="354">
        <f t="shared" si="57"/>
        <v>0</v>
      </c>
      <c r="AL30" s="328">
        <f t="shared" si="58"/>
        <v>0</v>
      </c>
      <c r="AM30" s="345">
        <f t="shared" si="59"/>
        <v>0</v>
      </c>
      <c r="AN30" s="352">
        <f t="shared" si="60"/>
        <v>0</v>
      </c>
      <c r="AP30" s="523">
        <f t="shared" si="61"/>
        <v>0</v>
      </c>
      <c r="AQ30" s="385">
        <f t="shared" si="62"/>
        <v>0</v>
      </c>
      <c r="AR30" s="400">
        <f t="shared" si="63"/>
        <v>0</v>
      </c>
      <c r="AS30" s="352">
        <f t="shared" si="64"/>
        <v>0</v>
      </c>
      <c r="AT30" s="108">
        <f t="shared" si="65"/>
        <v>0</v>
      </c>
      <c r="AU30" s="531">
        <f t="shared" si="66"/>
        <v>0</v>
      </c>
      <c r="AV30" s="395">
        <f t="shared" si="67"/>
        <v>0</v>
      </c>
      <c r="AW30" s="406">
        <f t="shared" si="68"/>
        <v>0</v>
      </c>
      <c r="AX30" s="54">
        <f t="shared" si="69"/>
        <v>3</v>
      </c>
      <c r="AY30" s="127">
        <f t="shared" si="70"/>
        <v>0</v>
      </c>
      <c r="AZ30" s="37">
        <f t="shared" si="71"/>
        <v>2004.4660000000017</v>
      </c>
      <c r="BA30" s="40" t="s">
        <v>7</v>
      </c>
      <c r="BD30" s="141"/>
      <c r="BE30" s="141"/>
      <c r="BF30" s="141"/>
      <c r="BG30" s="141"/>
      <c r="BH30" s="141"/>
    </row>
    <row r="31" spans="1:60" s="12" customFormat="1" ht="13.9">
      <c r="A31" s="9" t="s">
        <v>7</v>
      </c>
      <c r="B31" s="945" t="str">
        <f t="shared" si="43"/>
        <v/>
      </c>
      <c r="C31" s="475"/>
      <c r="D31" s="476" t="str">
        <f t="shared" si="44"/>
        <v/>
      </c>
      <c r="E31" s="562"/>
      <c r="F31" s="510">
        <f t="shared" ca="1" si="3"/>
        <v>1</v>
      </c>
      <c r="G31" s="477">
        <f t="shared" si="45"/>
        <v>0</v>
      </c>
      <c r="H31" s="477">
        <f t="shared" si="45"/>
        <v>0</v>
      </c>
      <c r="I31" s="477">
        <f t="shared" si="45"/>
        <v>0</v>
      </c>
      <c r="J31" s="477">
        <f t="shared" si="45"/>
        <v>0</v>
      </c>
      <c r="K31" s="477">
        <f t="shared" si="45"/>
        <v>0</v>
      </c>
      <c r="L31" s="566">
        <f t="shared" si="5"/>
        <v>0</v>
      </c>
      <c r="M31" s="477">
        <f t="shared" si="45"/>
        <v>0</v>
      </c>
      <c r="N31" s="477">
        <f t="shared" si="45"/>
        <v>0</v>
      </c>
      <c r="O31" s="478"/>
      <c r="P31" s="479"/>
      <c r="Q31" s="480"/>
      <c r="R31" s="91" t="str">
        <f t="shared" si="46"/>
        <v/>
      </c>
      <c r="S31" s="33" t="str">
        <f t="shared" si="47"/>
        <v/>
      </c>
      <c r="T31" s="481" t="s">
        <v>26</v>
      </c>
      <c r="U31" s="108">
        <f t="shared" si="48"/>
        <v>0</v>
      </c>
      <c r="V31" s="482"/>
      <c r="W31" s="483"/>
      <c r="Y31" s="405">
        <f t="shared" si="9"/>
        <v>0</v>
      </c>
      <c r="Z31" s="454">
        <f t="shared" si="10"/>
        <v>0</v>
      </c>
      <c r="AA31" s="578">
        <f t="shared" si="11"/>
        <v>0</v>
      </c>
      <c r="AB31" s="578">
        <f t="shared" si="12"/>
        <v>0</v>
      </c>
      <c r="AC31" s="405">
        <f t="shared" si="49"/>
        <v>0</v>
      </c>
      <c r="AD31" s="440" t="str">
        <f t="shared" si="50"/>
        <v/>
      </c>
      <c r="AE31" s="413">
        <f t="shared" si="51"/>
        <v>0</v>
      </c>
      <c r="AF31" s="292">
        <f t="shared" si="52"/>
        <v>0</v>
      </c>
      <c r="AG31" s="322">
        <f t="shared" si="53"/>
        <v>0</v>
      </c>
      <c r="AH31" s="492">
        <f t="shared" si="54"/>
        <v>0</v>
      </c>
      <c r="AI31" s="491">
        <f t="shared" si="55"/>
        <v>0</v>
      </c>
      <c r="AJ31" s="322">
        <f t="shared" si="56"/>
        <v>0</v>
      </c>
      <c r="AK31" s="354">
        <f t="shared" si="57"/>
        <v>0</v>
      </c>
      <c r="AL31" s="328">
        <f t="shared" si="58"/>
        <v>0</v>
      </c>
      <c r="AM31" s="345">
        <f t="shared" si="59"/>
        <v>0</v>
      </c>
      <c r="AN31" s="352">
        <f t="shared" si="60"/>
        <v>0</v>
      </c>
      <c r="AP31" s="523">
        <f t="shared" si="61"/>
        <v>0</v>
      </c>
      <c r="AQ31" s="385">
        <f t="shared" si="62"/>
        <v>0</v>
      </c>
      <c r="AR31" s="400">
        <f t="shared" si="63"/>
        <v>0</v>
      </c>
      <c r="AS31" s="352">
        <f t="shared" si="64"/>
        <v>0</v>
      </c>
      <c r="AT31" s="108">
        <f t="shared" si="65"/>
        <v>0</v>
      </c>
      <c r="AU31" s="531">
        <f t="shared" si="66"/>
        <v>0</v>
      </c>
      <c r="AV31" s="395">
        <f t="shared" si="67"/>
        <v>0</v>
      </c>
      <c r="AW31" s="406">
        <f t="shared" si="68"/>
        <v>0</v>
      </c>
      <c r="AX31" s="54">
        <f t="shared" si="69"/>
        <v>4</v>
      </c>
      <c r="AY31" s="127">
        <f t="shared" si="70"/>
        <v>0</v>
      </c>
      <c r="AZ31" s="37">
        <f t="shared" si="71"/>
        <v>2004.4660000000017</v>
      </c>
      <c r="BA31" s="40" t="s">
        <v>7</v>
      </c>
      <c r="BD31" s="141"/>
      <c r="BE31" s="141"/>
      <c r="BF31" s="141"/>
      <c r="BG31" s="141"/>
      <c r="BH31" s="141"/>
    </row>
    <row r="32" spans="1:60" s="12" customFormat="1" ht="10.15" customHeight="1">
      <c r="A32" s="9" t="s">
        <v>7</v>
      </c>
      <c r="B32" s="945" t="str">
        <f t="shared" ref="B32" si="72">IF(C32="","",IF(C32="§-AGS","§-AGS",IF(C32="€-Einlage","€-Einlage",IF(C32="$-Bank","$-Bank",IF(OR(AA32=1,AB32=1),"!&gt;Einzelauswahl",IF(Z32&gt;0,"Aktien aktiv",IF(Z32&lt;0,"Aktien historisch","")))))))</f>
        <v/>
      </c>
      <c r="C32" s="121" t="s">
        <v>40</v>
      </c>
      <c r="D32" s="542" t="s">
        <v>159</v>
      </c>
      <c r="E32" s="562"/>
      <c r="F32" s="507">
        <f t="shared" ref="F32:F53" ca="1" si="73">IF($C$6&gt;0,1,1)</f>
        <v>1</v>
      </c>
      <c r="G32" s="268"/>
      <c r="H32" s="268"/>
      <c r="I32" s="268"/>
      <c r="J32" s="268"/>
      <c r="K32" s="268"/>
      <c r="L32" s="567"/>
      <c r="M32" s="477"/>
      <c r="N32" s="268"/>
      <c r="O32" s="995" t="str">
        <f>IF(P33=0," Zeile einfügen: graue Zelle markieren und Menü &lt;Start/Einfügen/Blattzeile einfügen&gt;","bis hierher ziehen!")</f>
        <v xml:space="preserve"> Zeile einfügen: graue Zelle markieren und Menü &lt;Start/Einfügen/Blattzeile einfügen&gt;</v>
      </c>
      <c r="P32" s="996"/>
      <c r="Q32" s="996"/>
      <c r="R32" s="996"/>
      <c r="S32" s="996"/>
      <c r="T32" s="996"/>
      <c r="U32" s="108">
        <v>0</v>
      </c>
      <c r="V32" s="76"/>
      <c r="W32" s="76"/>
      <c r="Y32" s="32"/>
      <c r="Z32" s="455"/>
      <c r="AA32" s="32"/>
      <c r="AB32" s="32"/>
      <c r="AC32" s="32"/>
      <c r="AD32" s="441"/>
      <c r="AE32" s="190"/>
      <c r="AF32" s="293"/>
      <c r="AG32" s="356"/>
      <c r="AH32" s="309"/>
      <c r="AI32" s="190"/>
      <c r="AJ32" s="190"/>
      <c r="AK32" s="190"/>
      <c r="AL32" s="326"/>
      <c r="AM32" s="343"/>
      <c r="AN32" s="149"/>
      <c r="AP32" s="76"/>
      <c r="AQ32" s="386"/>
      <c r="AR32" s="277"/>
      <c r="AS32" s="61"/>
      <c r="AT32" s="108">
        <v>0</v>
      </c>
      <c r="AU32" s="524"/>
      <c r="AV32" s="61"/>
      <c r="AW32" s="61"/>
      <c r="AX32" s="106" t="s">
        <v>7</v>
      </c>
      <c r="BA32" s="40" t="s">
        <v>12</v>
      </c>
      <c r="BD32" s="141"/>
      <c r="BE32" s="141"/>
      <c r="BF32" s="141"/>
      <c r="BG32" s="141"/>
      <c r="BH32" s="141"/>
    </row>
    <row r="33" spans="1:60" s="32" customFormat="1" ht="3" customHeight="1" thickBot="1">
      <c r="A33" s="9" t="s">
        <v>7</v>
      </c>
      <c r="B33" s="945" t="s">
        <v>7</v>
      </c>
      <c r="C33" s="47" t="s">
        <v>7</v>
      </c>
      <c r="D33" s="47"/>
      <c r="E33" s="552"/>
      <c r="F33" s="507">
        <f t="shared" ca="1" si="73"/>
        <v>1</v>
      </c>
      <c r="G33" s="268"/>
      <c r="H33" s="268"/>
      <c r="I33" s="268"/>
      <c r="J33" s="268"/>
      <c r="K33" s="268"/>
      <c r="L33" s="567"/>
      <c r="M33" s="477">
        <f t="shared" ref="G33:N49" si="74">IF(M$13=$B33,1,0)</f>
        <v>0</v>
      </c>
      <c r="N33" s="268"/>
      <c r="O33" s="51"/>
      <c r="P33" s="48">
        <f>COUNTBLANK(A12:A32)+Q33</f>
        <v>0</v>
      </c>
      <c r="Q33" s="914">
        <f>IF(ISERROR(AZ33),1,0)</f>
        <v>0</v>
      </c>
      <c r="R33" s="92"/>
      <c r="S33" s="52"/>
      <c r="T33" s="112">
        <f>SUM(U12:U32)</f>
        <v>14</v>
      </c>
      <c r="U33" s="109">
        <f>+V33-T33</f>
        <v>0</v>
      </c>
      <c r="V33" s="113">
        <f>SUBTOTAL(9,U12:U32)</f>
        <v>14</v>
      </c>
      <c r="W33" s="53"/>
      <c r="X33" s="196"/>
      <c r="Y33" s="196"/>
      <c r="Z33" s="456"/>
      <c r="AA33" s="196"/>
      <c r="AB33" s="196"/>
      <c r="AC33" s="196"/>
      <c r="AD33" s="196"/>
      <c r="AE33" s="196"/>
      <c r="AF33" s="294"/>
      <c r="AG33" s="346"/>
      <c r="AH33" s="310"/>
      <c r="AI33" s="196"/>
      <c r="AJ33" s="196"/>
      <c r="AK33" s="196"/>
      <c r="AL33" s="329"/>
      <c r="AM33" s="346"/>
      <c r="AN33" s="196"/>
      <c r="AP33" s="66"/>
      <c r="AQ33" s="387"/>
      <c r="AR33" s="66"/>
      <c r="AS33" s="47"/>
      <c r="AT33" s="109">
        <f>+AV33-AS33</f>
        <v>0</v>
      </c>
      <c r="AU33" s="915"/>
      <c r="AV33" s="47"/>
      <c r="AW33" s="47"/>
      <c r="AX33" s="114" t="s">
        <v>7</v>
      </c>
      <c r="AY33" s="49">
        <f>SUM(AY13:AY32)</f>
        <v>2004.4660000000017</v>
      </c>
      <c r="AZ33" s="49">
        <f>SUM(AZ13:AZ32)</f>
        <v>189258.10400000011</v>
      </c>
      <c r="BD33" s="147"/>
      <c r="BE33" s="147"/>
      <c r="BF33" s="147"/>
      <c r="BG33" s="142"/>
      <c r="BH33" s="142"/>
    </row>
    <row r="34" spans="1:60" s="32" customFormat="1" ht="3" customHeight="1">
      <c r="A34" s="9" t="s">
        <v>7</v>
      </c>
      <c r="B34" s="945" t="s">
        <v>7</v>
      </c>
      <c r="E34" s="553"/>
      <c r="F34" s="507">
        <f t="shared" ca="1" si="73"/>
        <v>1</v>
      </c>
      <c r="G34" s="268"/>
      <c r="H34" s="268"/>
      <c r="I34" s="268"/>
      <c r="J34" s="268"/>
      <c r="K34" s="268"/>
      <c r="L34" s="567"/>
      <c r="M34" s="477">
        <f t="shared" si="74"/>
        <v>0</v>
      </c>
      <c r="N34" s="268"/>
      <c r="O34" s="130"/>
      <c r="P34" s="42"/>
      <c r="Q34" s="156"/>
      <c r="R34" s="93"/>
      <c r="S34" s="131"/>
      <c r="T34" s="132"/>
      <c r="U34" s="108"/>
      <c r="V34" s="133"/>
      <c r="W34" s="134"/>
      <c r="X34" s="134"/>
      <c r="Y34" s="134"/>
      <c r="Z34" s="134"/>
      <c r="AA34" s="134"/>
      <c r="AB34" s="134"/>
      <c r="AC34" s="134"/>
      <c r="AD34" s="442"/>
      <c r="AE34" s="134"/>
      <c r="AF34" s="295"/>
      <c r="AG34" s="347"/>
      <c r="AH34" s="311"/>
      <c r="AI34" s="134"/>
      <c r="AJ34" s="134"/>
      <c r="AK34" s="134"/>
      <c r="AL34" s="330"/>
      <c r="AM34" s="347"/>
      <c r="AN34" s="134"/>
      <c r="AO34" s="134"/>
      <c r="AP34" s="135"/>
      <c r="AQ34" s="388"/>
      <c r="AR34" s="135"/>
      <c r="AT34" s="108"/>
      <c r="AU34" s="524"/>
      <c r="AX34" s="102"/>
      <c r="AY34" s="43"/>
      <c r="AZ34" s="43"/>
      <c r="BB34" s="163"/>
      <c r="BC34" s="150"/>
      <c r="BD34" s="147"/>
      <c r="BE34" s="147"/>
      <c r="BF34" s="147"/>
      <c r="BG34" s="142"/>
      <c r="BH34" s="142"/>
    </row>
    <row r="35" spans="1:60" s="13" customFormat="1" ht="10.25" customHeight="1">
      <c r="A35" s="9" t="s">
        <v>7</v>
      </c>
      <c r="B35" s="945" t="s">
        <v>7</v>
      </c>
      <c r="C35" s="497" t="s">
        <v>13</v>
      </c>
      <c r="D35" s="505"/>
      <c r="E35" s="554"/>
      <c r="F35" s="507">
        <f t="shared" ca="1" si="73"/>
        <v>1</v>
      </c>
      <c r="G35" s="268"/>
      <c r="H35" s="268"/>
      <c r="I35" s="268"/>
      <c r="J35" s="268"/>
      <c r="K35" s="268"/>
      <c r="L35" s="567"/>
      <c r="M35" s="477">
        <f t="shared" si="74"/>
        <v>0</v>
      </c>
      <c r="N35" s="268"/>
      <c r="O35" s="1029" t="s">
        <v>148</v>
      </c>
      <c r="P35" s="1029"/>
      <c r="Q35" s="919">
        <v>45979</v>
      </c>
      <c r="R35" s="1020" t="s">
        <v>139</v>
      </c>
      <c r="S35" s="1020"/>
      <c r="T35" s="87"/>
      <c r="U35" s="108"/>
      <c r="V35" s="1038" t="s">
        <v>69</v>
      </c>
      <c r="W35" s="1038"/>
      <c r="X35" s="193"/>
      <c r="Y35" s="193"/>
      <c r="Z35" s="457"/>
      <c r="AA35" s="193"/>
      <c r="AB35" s="193"/>
      <c r="AC35" s="193"/>
      <c r="AD35" s="443"/>
      <c r="AE35" s="193"/>
      <c r="AF35" s="296"/>
      <c r="AG35" s="348"/>
      <c r="AH35" s="997" t="s">
        <v>137</v>
      </c>
      <c r="AI35" s="997"/>
      <c r="AJ35" s="193"/>
      <c r="AK35" s="193"/>
      <c r="AL35" s="331"/>
      <c r="AM35" s="348"/>
      <c r="AN35" s="193"/>
      <c r="AO35" s="193"/>
      <c r="AP35" s="136"/>
      <c r="AQ35" s="389"/>
      <c r="AR35" s="396"/>
      <c r="AS35" s="136"/>
      <c r="AT35" s="108"/>
      <c r="AU35" s="983" t="s">
        <v>136</v>
      </c>
      <c r="AV35" s="983"/>
      <c r="AW35" s="983"/>
      <c r="AX35" s="102" t="s">
        <v>7</v>
      </c>
      <c r="AY35" s="1015" t="s">
        <v>149</v>
      </c>
      <c r="AZ35" s="1015"/>
      <c r="BA35" s="32"/>
      <c r="BB35" s="162"/>
      <c r="BC35" s="149"/>
      <c r="BD35" s="141"/>
      <c r="BE35" s="141"/>
      <c r="BF35" s="141"/>
      <c r="BG35" s="143"/>
      <c r="BH35" s="143"/>
    </row>
    <row r="36" spans="1:60" s="13" customFormat="1" ht="15" customHeight="1">
      <c r="A36" s="9" t="s">
        <v>7</v>
      </c>
      <c r="B36" s="945" t="s">
        <v>7</v>
      </c>
      <c r="C36" s="50" t="s">
        <v>0</v>
      </c>
      <c r="D36" s="506"/>
      <c r="E36" s="555"/>
      <c r="F36" s="507">
        <f t="shared" ca="1" si="73"/>
        <v>1</v>
      </c>
      <c r="G36" s="268"/>
      <c r="H36" s="268"/>
      <c r="I36" s="268"/>
      <c r="J36" s="268"/>
      <c r="K36" s="268"/>
      <c r="L36" s="567"/>
      <c r="M36" s="477">
        <f t="shared" si="74"/>
        <v>0</v>
      </c>
      <c r="N36" s="268"/>
      <c r="O36" s="1027">
        <f>SUBTOTAL(9,P38:P47)</f>
        <v>102801.60000000001</v>
      </c>
      <c r="P36" s="1028"/>
      <c r="Q36" s="920">
        <v>0.59253472222222225</v>
      </c>
      <c r="R36" s="1009">
        <f>SUBTOTAL(9,AP38:AP47)+SUBTOTAL(9,AQ38:AQ47)</f>
        <v>47990</v>
      </c>
      <c r="S36" s="1010"/>
      <c r="T36" s="1036"/>
      <c r="U36" s="1037"/>
      <c r="V36" s="993">
        <f>SUBTOTAL(9,AR38:AR47)</f>
        <v>-133.40399999999994</v>
      </c>
      <c r="W36" s="994"/>
      <c r="X36" s="194"/>
      <c r="Y36" s="434" t="s">
        <v>126</v>
      </c>
      <c r="Z36" s="458"/>
      <c r="AA36" s="194"/>
      <c r="AB36" s="925" t="s">
        <v>182</v>
      </c>
      <c r="AC36" s="436">
        <f>SUBTOTAL(9,Y38:Y47)</f>
        <v>6</v>
      </c>
      <c r="AD36" s="194"/>
      <c r="AE36" s="434" t="s">
        <v>127</v>
      </c>
      <c r="AF36" s="297"/>
      <c r="AG36" s="349"/>
      <c r="AH36" s="471">
        <f>SUM(AH38:AH47)</f>
        <v>0</v>
      </c>
      <c r="AI36" s="471">
        <f>SUM(AI38:AI47)</f>
        <v>0</v>
      </c>
      <c r="AK36" s="324"/>
      <c r="AL36" s="332"/>
      <c r="AM36" s="349"/>
      <c r="AN36" s="194"/>
      <c r="AO36" s="194"/>
      <c r="AP36" s="129"/>
      <c r="AQ36" s="388"/>
      <c r="AR36" s="135"/>
      <c r="AU36" s="982" t="str">
        <f>IF(AH36=1,"Kurs ohne Bestand!","Kurs bei Bestand fehlt!")</f>
        <v>Kurs bei Bestand fehlt!</v>
      </c>
      <c r="AV36" s="982"/>
      <c r="AW36" s="982"/>
      <c r="AX36" s="102" t="s">
        <v>7</v>
      </c>
      <c r="AY36" s="499">
        <f>IF(AZ36&lt;&gt;0,AZ36/R36,0)</f>
        <v>1.1448899770785579</v>
      </c>
      <c r="AZ36" s="498">
        <f>SUBTOTAL(9,AS38:AS47)</f>
        <v>54943.27</v>
      </c>
      <c r="BA36" s="32"/>
      <c r="BB36" s="162"/>
      <c r="BC36" s="149"/>
      <c r="BD36" s="141"/>
      <c r="BE36" s="141"/>
      <c r="BF36" s="141"/>
      <c r="BG36" s="143"/>
      <c r="BH36" s="143"/>
    </row>
    <row r="37" spans="1:60" s="59" customFormat="1" ht="10.050000000000001" customHeight="1" thickBot="1">
      <c r="A37" s="9" t="s">
        <v>7</v>
      </c>
      <c r="B37" s="945" t="s">
        <v>7</v>
      </c>
      <c r="C37" s="101" t="s">
        <v>7</v>
      </c>
      <c r="D37" s="101"/>
      <c r="E37" s="556"/>
      <c r="F37" s="507">
        <f t="shared" ca="1" si="73"/>
        <v>1</v>
      </c>
      <c r="G37" s="268"/>
      <c r="H37" s="268"/>
      <c r="I37" s="268"/>
      <c r="J37" s="268"/>
      <c r="K37" s="268"/>
      <c r="L37" s="567"/>
      <c r="M37" s="477">
        <f t="shared" si="74"/>
        <v>0</v>
      </c>
      <c r="N37" s="268"/>
      <c r="P37" s="252"/>
      <c r="Q37" s="921" t="s">
        <v>150</v>
      </c>
      <c r="R37" s="259" t="s">
        <v>12</v>
      </c>
      <c r="S37" s="253" t="s">
        <v>12</v>
      </c>
      <c r="T37" s="254"/>
      <c r="U37" s="110"/>
      <c r="V37" s="254"/>
      <c r="W37" s="254"/>
      <c r="X37" s="254"/>
      <c r="Y37" s="254"/>
      <c r="Z37" s="929"/>
      <c r="AA37" s="929" t="s">
        <v>188</v>
      </c>
      <c r="AB37" s="930" t="s">
        <v>186</v>
      </c>
      <c r="AC37" s="931" t="s">
        <v>187</v>
      </c>
      <c r="AD37" s="932"/>
      <c r="AE37" s="254"/>
      <c r="AF37" s="298"/>
      <c r="AG37" s="254"/>
      <c r="AH37" s="312"/>
      <c r="AI37" s="254"/>
      <c r="AJ37" s="254"/>
      <c r="AK37" s="254"/>
      <c r="AL37" s="333"/>
      <c r="AM37" s="254"/>
      <c r="AN37" s="254"/>
      <c r="AO37" s="254"/>
      <c r="AP37" s="139" t="s">
        <v>37</v>
      </c>
      <c r="AQ37" s="390" t="s">
        <v>37</v>
      </c>
      <c r="AR37" s="139" t="s">
        <v>67</v>
      </c>
      <c r="AS37" s="139" t="s">
        <v>68</v>
      </c>
      <c r="AT37" s="110"/>
      <c r="AU37" s="525"/>
      <c r="AV37" s="139"/>
      <c r="AW37" s="82"/>
      <c r="AX37" s="255" t="s">
        <v>7</v>
      </c>
      <c r="AY37" s="96"/>
      <c r="AZ37" s="214"/>
      <c r="BA37" s="99"/>
      <c r="BB37" s="256"/>
      <c r="BC37" s="257"/>
      <c r="BD37" s="145"/>
      <c r="BE37" s="145"/>
      <c r="BF37" s="145"/>
      <c r="BG37" s="145"/>
      <c r="BH37" s="145"/>
    </row>
    <row r="38" spans="1:60" s="15" customFormat="1" ht="12" customHeight="1" thickTop="1">
      <c r="A38" s="9" t="s">
        <v>7</v>
      </c>
      <c r="B38" s="945" t="s">
        <v>7</v>
      </c>
      <c r="C38" s="128" t="s">
        <v>7</v>
      </c>
      <c r="D38" s="128"/>
      <c r="E38" s="557"/>
      <c r="F38" s="507">
        <f t="shared" ca="1" si="73"/>
        <v>1</v>
      </c>
      <c r="G38" s="268"/>
      <c r="H38" s="268"/>
      <c r="I38" s="268"/>
      <c r="J38" s="268"/>
      <c r="K38" s="268"/>
      <c r="L38" s="567"/>
      <c r="M38" s="477">
        <f t="shared" si="74"/>
        <v>0</v>
      </c>
      <c r="N38" s="268"/>
      <c r="O38" s="171" t="s">
        <v>3</v>
      </c>
      <c r="P38" s="172" t="s">
        <v>11</v>
      </c>
      <c r="Q38" s="173" t="s">
        <v>4</v>
      </c>
      <c r="R38" s="260" t="s">
        <v>91</v>
      </c>
      <c r="S38" s="261" t="s">
        <v>92</v>
      </c>
      <c r="T38" s="290" t="s">
        <v>10</v>
      </c>
      <c r="U38" s="174"/>
      <c r="V38" s="45" t="s">
        <v>27</v>
      </c>
      <c r="W38" s="46" t="s">
        <v>6</v>
      </c>
      <c r="X38" s="175"/>
      <c r="Y38" s="437">
        <v>0</v>
      </c>
      <c r="Z38" s="933"/>
      <c r="AA38" s="933"/>
      <c r="AB38" s="934">
        <f>SUBTOTAL(9,AB39:AB47)</f>
        <v>4</v>
      </c>
      <c r="AC38" s="934">
        <f>SUBTOTAL(9,AC39:AC47)</f>
        <v>2</v>
      </c>
      <c r="AD38" s="935"/>
      <c r="AE38" s="437">
        <v>0</v>
      </c>
      <c r="AF38" s="378"/>
      <c r="AG38" s="64"/>
      <c r="AH38" s="469" t="s">
        <v>135</v>
      </c>
      <c r="AI38" s="470" t="s">
        <v>134</v>
      </c>
      <c r="AJ38" s="175"/>
      <c r="AK38" s="175"/>
      <c r="AL38" s="45"/>
      <c r="AM38" s="64"/>
      <c r="AN38" s="175"/>
      <c r="AO38" s="175"/>
      <c r="AP38" s="264" t="s">
        <v>16</v>
      </c>
      <c r="AQ38" s="263" t="s">
        <v>17</v>
      </c>
      <c r="AR38" s="176" t="s">
        <v>22</v>
      </c>
      <c r="AS38" s="176" t="s">
        <v>22</v>
      </c>
      <c r="AT38" s="174"/>
      <c r="AU38" s="1039" t="s">
        <v>168</v>
      </c>
      <c r="AV38" s="1039"/>
      <c r="AW38" s="177" t="s">
        <v>21</v>
      </c>
      <c r="AX38" s="125" t="s">
        <v>7</v>
      </c>
      <c r="AY38" s="171" t="s">
        <v>70</v>
      </c>
      <c r="AZ38" s="178" t="s">
        <v>167</v>
      </c>
      <c r="BA38" s="14"/>
      <c r="BB38" s="162"/>
      <c r="BC38" s="149"/>
      <c r="BD38" s="141"/>
      <c r="BE38" s="141"/>
      <c r="BF38" s="141"/>
      <c r="BG38" s="144"/>
      <c r="BH38" s="144"/>
    </row>
    <row r="39" spans="1:60" s="12" customFormat="1" ht="15.4" customHeight="1">
      <c r="A39" s="9" t="s">
        <v>7</v>
      </c>
      <c r="B39" s="945" t="str">
        <f>IF(C39="","",IF(C39=$AE$6,"!&gt;Einzelauswahl",IF(AE39&lt;0,"Depot historisch",IF(AE39&gt;0,"Depot aktiv",""))))</f>
        <v>Depot historisch</v>
      </c>
      <c r="C39" s="475" t="s">
        <v>196</v>
      </c>
      <c r="D39" s="170" t="str">
        <f t="shared" ref="D39:D46" si="75">IF(O39&lt;&gt;0,+C39,"")</f>
        <v/>
      </c>
      <c r="E39" s="537"/>
      <c r="F39" s="507">
        <f t="shared" ca="1" si="73"/>
        <v>1</v>
      </c>
      <c r="G39" s="549"/>
      <c r="H39" s="549"/>
      <c r="I39" s="549"/>
      <c r="J39" s="549"/>
      <c r="K39" s="549"/>
      <c r="L39" s="567"/>
      <c r="M39" s="549"/>
      <c r="N39" s="549"/>
      <c r="O39" s="34">
        <f t="shared" ref="O39:O46" si="76">SUMIF($C$13:$C$32,$C39,O$13:O$32)</f>
        <v>0</v>
      </c>
      <c r="P39" s="35">
        <f t="shared" ref="P39:P44" si="77">+O39*Q39</f>
        <v>0</v>
      </c>
      <c r="Q39" s="486"/>
      <c r="R39" s="258">
        <f t="shared" ref="R39:S46" si="78">-SUMIF($C$13:$C$32,$C39,R$13:R$32)</f>
        <v>4935.1140000000005</v>
      </c>
      <c r="S39" s="262">
        <f t="shared" si="78"/>
        <v>-4801</v>
      </c>
      <c r="T39" s="288">
        <f t="shared" ref="T39:T46" si="79">SUMIF($C$13:$C$32,$C39,T$13:T$32)</f>
        <v>0</v>
      </c>
      <c r="U39" s="110"/>
      <c r="V39" s="36">
        <f t="shared" ref="V39:W46" si="80">SUMIF($C$13:$C$32,$C39,V$13:V$32)</f>
        <v>-35.28</v>
      </c>
      <c r="W39" s="97">
        <f t="shared" si="80"/>
        <v>0</v>
      </c>
      <c r="X39" s="169"/>
      <c r="Y39" s="437">
        <f t="shared" ref="Y39:Y46" si="81">IF(C39&lt;&gt;"",1,0)</f>
        <v>1</v>
      </c>
      <c r="Z39" s="432" t="str">
        <f t="shared" ref="Z39:Z46" si="82">IF(C39&lt;&gt;"",+C39,"")</f>
        <v>Aktie-2</v>
      </c>
      <c r="AA39" s="169"/>
      <c r="AB39" s="927">
        <f>IF(AE39&gt;0,1,0)</f>
        <v>0</v>
      </c>
      <c r="AC39" s="926">
        <f>IF(AE39&lt;0,1,0)</f>
        <v>1</v>
      </c>
      <c r="AD39" s="169"/>
      <c r="AE39" s="435">
        <f t="shared" ref="AE39:AE46" si="83">IF(C39="",0,IF(O39&gt;0,1,-1))</f>
        <v>-1</v>
      </c>
      <c r="AF39" s="379" t="str">
        <f t="shared" ref="AF39:AF46" si="84">IF(O39&gt;0,C39,"")</f>
        <v/>
      </c>
      <c r="AG39" s="350"/>
      <c r="AH39" s="313">
        <f>IF(AND(O39=0,Q39&lt;&gt;0),1,0)</f>
        <v>0</v>
      </c>
      <c r="AI39" s="313">
        <f>IF(AND(O39&gt;0,Q39=0),1,0)</f>
        <v>0</v>
      </c>
      <c r="AJ39" s="169"/>
      <c r="AK39" s="169"/>
      <c r="AL39" s="334"/>
      <c r="AM39" s="350"/>
      <c r="AN39" s="169"/>
      <c r="AO39" s="169"/>
      <c r="AP39" s="138">
        <f t="shared" ref="AP39:AP44" si="85">IF(O39&lt;&gt;0,+R39,0)</f>
        <v>0</v>
      </c>
      <c r="AQ39" s="391">
        <f t="shared" ref="AQ39:AQ44" si="86">IF(O39&lt;&gt;0,+S39,0)</f>
        <v>0</v>
      </c>
      <c r="AR39" s="138">
        <f>IF(O39=0,+AZ39,0)</f>
        <v>-169.39400000000049</v>
      </c>
      <c r="AS39" s="138">
        <f t="shared" ref="AS39:AS44" si="87">IF(O39&lt;&gt;0,+AZ39,0)</f>
        <v>0</v>
      </c>
      <c r="AT39" s="110"/>
      <c r="AU39" s="533"/>
      <c r="AV39" s="532">
        <f>+AR39+AS39</f>
        <v>-169.39400000000049</v>
      </c>
      <c r="AW39" s="401">
        <f t="shared" ref="AW39:AW45" si="88">AZ39/AY39</f>
        <v>-3.4324232429078734E-2</v>
      </c>
      <c r="AX39" s="472" t="s">
        <v>7</v>
      </c>
      <c r="AY39" s="137">
        <f>IF(O39=0,R39,R39+S39)</f>
        <v>4935.1140000000005</v>
      </c>
      <c r="AZ39" s="94">
        <f>+P39-R39-S39+T39+V39+W39</f>
        <v>-169.39400000000049</v>
      </c>
      <c r="BA39" s="40" t="s">
        <v>7</v>
      </c>
      <c r="BB39" s="162"/>
      <c r="BC39" s="149"/>
      <c r="BD39" s="141"/>
      <c r="BE39" s="141"/>
      <c r="BF39" s="141"/>
      <c r="BG39" s="141"/>
      <c r="BH39" s="141"/>
    </row>
    <row r="40" spans="1:60" s="6" customFormat="1" ht="15.4" customHeight="1">
      <c r="A40" s="9" t="s">
        <v>7</v>
      </c>
      <c r="B40" s="945" t="str">
        <f t="shared" ref="B40:B46" si="89">IF(C40="","",IF(C40=$AE$6,"!&gt;Einzelauswahl",IF(AE40&lt;0,"Depot historisch",IF(AE40&gt;0,"Depot aktiv",""))))</f>
        <v>Depot historisch</v>
      </c>
      <c r="C40" s="475" t="s">
        <v>198</v>
      </c>
      <c r="D40" s="170" t="str">
        <f t="shared" si="75"/>
        <v/>
      </c>
      <c r="E40" s="537"/>
      <c r="F40" s="507">
        <f t="shared" ca="1" si="73"/>
        <v>1</v>
      </c>
      <c r="G40" s="549"/>
      <c r="H40" s="549"/>
      <c r="I40" s="549"/>
      <c r="J40" s="549"/>
      <c r="K40" s="549"/>
      <c r="L40" s="567"/>
      <c r="M40" s="549"/>
      <c r="N40" s="549"/>
      <c r="O40" s="34">
        <f t="shared" si="76"/>
        <v>0</v>
      </c>
      <c r="P40" s="35">
        <f t="shared" si="77"/>
        <v>0</v>
      </c>
      <c r="Q40" s="486"/>
      <c r="R40" s="258">
        <f t="shared" si="78"/>
        <v>7561.5999999999995</v>
      </c>
      <c r="S40" s="262">
        <f t="shared" si="78"/>
        <v>-7632</v>
      </c>
      <c r="T40" s="288">
        <f t="shared" si="79"/>
        <v>0</v>
      </c>
      <c r="U40" s="110"/>
      <c r="V40" s="36">
        <f t="shared" si="80"/>
        <v>-34.410000000000004</v>
      </c>
      <c r="W40" s="97">
        <f t="shared" si="80"/>
        <v>0</v>
      </c>
      <c r="X40" s="169"/>
      <c r="Y40" s="437">
        <f t="shared" si="81"/>
        <v>1</v>
      </c>
      <c r="Z40" s="432" t="str">
        <f t="shared" si="82"/>
        <v>Aktie-4</v>
      </c>
      <c r="AA40" s="169"/>
      <c r="AB40" s="927">
        <f t="shared" ref="AB40:AB45" si="90">IF(AE40&gt;0,1,0)</f>
        <v>0</v>
      </c>
      <c r="AC40" s="926">
        <f t="shared" ref="AC40:AC45" si="91">IF(AE40&lt;0,1,0)</f>
        <v>1</v>
      </c>
      <c r="AD40" s="169"/>
      <c r="AE40" s="435">
        <f t="shared" si="83"/>
        <v>-1</v>
      </c>
      <c r="AF40" s="379" t="str">
        <f t="shared" si="84"/>
        <v/>
      </c>
      <c r="AG40" s="350"/>
      <c r="AH40" s="313">
        <f t="shared" ref="AH40:AH46" si="92">IF(AND(O40=0,Q40&lt;&gt;0),1,0)</f>
        <v>0</v>
      </c>
      <c r="AI40" s="313">
        <f t="shared" ref="AI40:AI46" si="93">IF(AND(O40&gt;0,Q40=0),1,0)</f>
        <v>0</v>
      </c>
      <c r="AJ40" s="169"/>
      <c r="AK40" s="169"/>
      <c r="AL40" s="334"/>
      <c r="AM40" s="350"/>
      <c r="AN40" s="169"/>
      <c r="AO40" s="169"/>
      <c r="AP40" s="138">
        <f t="shared" si="85"/>
        <v>0</v>
      </c>
      <c r="AQ40" s="391">
        <f t="shared" si="86"/>
        <v>0</v>
      </c>
      <c r="AR40" s="138">
        <f t="shared" ref="AR40:AR46" si="94">IF(O40=0,+AZ40,0)</f>
        <v>35.990000000000542</v>
      </c>
      <c r="AS40" s="138">
        <f t="shared" si="87"/>
        <v>0</v>
      </c>
      <c r="AT40" s="110"/>
      <c r="AU40" s="533"/>
      <c r="AV40" s="532">
        <f t="shared" ref="AV40:AV45" si="95">+AR40+AS40</f>
        <v>35.990000000000542</v>
      </c>
      <c r="AW40" s="401">
        <f t="shared" si="88"/>
        <v>4.7595746931866989E-3</v>
      </c>
      <c r="AX40" s="472" t="s">
        <v>7</v>
      </c>
      <c r="AY40" s="137">
        <f t="shared" ref="AY40:AY46" si="96">IF(O40=0,R40,R40+S40)</f>
        <v>7561.5999999999995</v>
      </c>
      <c r="AZ40" s="94">
        <f t="shared" ref="AZ40:AZ46" si="97">+P40-R40-S40+T40+V40+W40</f>
        <v>35.990000000000542</v>
      </c>
      <c r="BA40" s="40" t="s">
        <v>7</v>
      </c>
      <c r="BB40" s="162"/>
      <c r="BC40" s="149"/>
      <c r="BD40" s="141"/>
      <c r="BE40" s="141"/>
      <c r="BF40" s="141"/>
      <c r="BG40" s="140"/>
      <c r="BH40" s="140"/>
    </row>
    <row r="41" spans="1:60" s="6" customFormat="1" ht="15" customHeight="1">
      <c r="A41" s="9" t="s">
        <v>7</v>
      </c>
      <c r="B41" s="945" t="str">
        <f t="shared" si="89"/>
        <v>Depot aktiv</v>
      </c>
      <c r="C41" s="475" t="s">
        <v>195</v>
      </c>
      <c r="D41" s="170" t="str">
        <f t="shared" si="75"/>
        <v>Aktie-1</v>
      </c>
      <c r="E41" s="537"/>
      <c r="F41" s="507">
        <f t="shared" ca="1" si="73"/>
        <v>1</v>
      </c>
      <c r="G41" s="549"/>
      <c r="H41" s="549"/>
      <c r="I41" s="549"/>
      <c r="J41" s="549"/>
      <c r="K41" s="549"/>
      <c r="L41" s="567"/>
      <c r="M41" s="549"/>
      <c r="N41" s="549"/>
      <c r="O41" s="34">
        <f t="shared" si="76"/>
        <v>250</v>
      </c>
      <c r="P41" s="35">
        <f t="shared" si="77"/>
        <v>50862.5</v>
      </c>
      <c r="Q41" s="486">
        <v>203.45</v>
      </c>
      <c r="R41" s="258">
        <f t="shared" si="78"/>
        <v>26980</v>
      </c>
      <c r="S41" s="262">
        <f t="shared" si="78"/>
        <v>0</v>
      </c>
      <c r="T41" s="288">
        <f t="shared" si="79"/>
        <v>395</v>
      </c>
      <c r="U41" s="110"/>
      <c r="V41" s="36">
        <f t="shared" si="80"/>
        <v>-71.650000000000006</v>
      </c>
      <c r="W41" s="97">
        <f t="shared" si="80"/>
        <v>-104.18</v>
      </c>
      <c r="X41" s="169"/>
      <c r="Y41" s="437">
        <f t="shared" si="81"/>
        <v>1</v>
      </c>
      <c r="Z41" s="432" t="str">
        <f t="shared" si="82"/>
        <v>Aktie-1</v>
      </c>
      <c r="AA41" s="169"/>
      <c r="AB41" s="927">
        <f t="shared" si="90"/>
        <v>1</v>
      </c>
      <c r="AC41" s="926">
        <f t="shared" si="91"/>
        <v>0</v>
      </c>
      <c r="AD41" s="169"/>
      <c r="AE41" s="435">
        <f t="shared" si="83"/>
        <v>1</v>
      </c>
      <c r="AF41" s="379" t="str">
        <f t="shared" si="84"/>
        <v>Aktie-1</v>
      </c>
      <c r="AG41" s="350"/>
      <c r="AH41" s="313">
        <f t="shared" si="92"/>
        <v>0</v>
      </c>
      <c r="AI41" s="313">
        <f t="shared" si="93"/>
        <v>0</v>
      </c>
      <c r="AJ41" s="169"/>
      <c r="AK41" s="169"/>
      <c r="AL41" s="334"/>
      <c r="AM41" s="350"/>
      <c r="AN41" s="169"/>
      <c r="AO41" s="169"/>
      <c r="AP41" s="138">
        <f t="shared" si="85"/>
        <v>26980</v>
      </c>
      <c r="AQ41" s="391">
        <f t="shared" si="86"/>
        <v>0</v>
      </c>
      <c r="AR41" s="138">
        <f t="shared" si="94"/>
        <v>0</v>
      </c>
      <c r="AS41" s="138">
        <f t="shared" si="87"/>
        <v>24101.67</v>
      </c>
      <c r="AT41" s="110"/>
      <c r="AU41" s="533"/>
      <c r="AV41" s="532">
        <f t="shared" si="95"/>
        <v>24101.67</v>
      </c>
      <c r="AW41" s="401">
        <f t="shared" si="88"/>
        <v>0.89331616011860626</v>
      </c>
      <c r="AX41" s="472" t="s">
        <v>7</v>
      </c>
      <c r="AY41" s="137">
        <f t="shared" si="96"/>
        <v>26980</v>
      </c>
      <c r="AZ41" s="94">
        <f t="shared" si="97"/>
        <v>24101.67</v>
      </c>
      <c r="BA41" s="40" t="s">
        <v>7</v>
      </c>
      <c r="BB41" s="162"/>
      <c r="BC41" s="149"/>
      <c r="BD41" s="141"/>
      <c r="BE41" s="141"/>
      <c r="BF41" s="141"/>
      <c r="BG41" s="140"/>
      <c r="BH41" s="140"/>
    </row>
    <row r="42" spans="1:60" s="6" customFormat="1" ht="15" customHeight="1">
      <c r="A42" s="9" t="s">
        <v>7</v>
      </c>
      <c r="B42" s="945" t="str">
        <f t="shared" si="89"/>
        <v>Depot aktiv</v>
      </c>
      <c r="C42" s="475" t="s">
        <v>197</v>
      </c>
      <c r="D42" s="170" t="str">
        <f t="shared" si="75"/>
        <v>Aktie-3</v>
      </c>
      <c r="E42" s="537"/>
      <c r="F42" s="507">
        <f t="shared" ca="1" si="73"/>
        <v>1</v>
      </c>
      <c r="G42" s="549"/>
      <c r="H42" s="549"/>
      <c r="I42" s="549"/>
      <c r="J42" s="549"/>
      <c r="K42" s="549"/>
      <c r="L42" s="567"/>
      <c r="M42" s="549"/>
      <c r="N42" s="549"/>
      <c r="O42" s="34">
        <f t="shared" si="76"/>
        <v>130</v>
      </c>
      <c r="P42" s="35">
        <f t="shared" si="77"/>
        <v>44937.1</v>
      </c>
      <c r="Q42" s="486">
        <v>345.67</v>
      </c>
      <c r="R42" s="258">
        <f t="shared" si="78"/>
        <v>13000</v>
      </c>
      <c r="S42" s="262">
        <f t="shared" si="78"/>
        <v>0</v>
      </c>
      <c r="T42" s="288">
        <f t="shared" si="79"/>
        <v>0</v>
      </c>
      <c r="U42" s="110"/>
      <c r="V42" s="36">
        <f t="shared" si="80"/>
        <v>-59.4</v>
      </c>
      <c r="W42" s="97">
        <f t="shared" si="80"/>
        <v>0</v>
      </c>
      <c r="X42" s="169"/>
      <c r="Y42" s="437">
        <f t="shared" si="81"/>
        <v>1</v>
      </c>
      <c r="Z42" s="432" t="str">
        <f t="shared" si="82"/>
        <v>Aktie-3</v>
      </c>
      <c r="AA42" s="169"/>
      <c r="AB42" s="927">
        <f t="shared" si="90"/>
        <v>1</v>
      </c>
      <c r="AC42" s="926">
        <f t="shared" si="91"/>
        <v>0</v>
      </c>
      <c r="AD42" s="169"/>
      <c r="AE42" s="435">
        <f t="shared" si="83"/>
        <v>1</v>
      </c>
      <c r="AF42" s="379" t="str">
        <f t="shared" si="84"/>
        <v>Aktie-3</v>
      </c>
      <c r="AG42" s="350"/>
      <c r="AH42" s="313">
        <f t="shared" si="92"/>
        <v>0</v>
      </c>
      <c r="AI42" s="313">
        <f t="shared" si="93"/>
        <v>0</v>
      </c>
      <c r="AJ42" s="169"/>
      <c r="AK42" s="169"/>
      <c r="AL42" s="334"/>
      <c r="AM42" s="350"/>
      <c r="AN42" s="169"/>
      <c r="AO42" s="169"/>
      <c r="AP42" s="138">
        <f t="shared" si="85"/>
        <v>13000</v>
      </c>
      <c r="AQ42" s="391">
        <f t="shared" si="86"/>
        <v>0</v>
      </c>
      <c r="AR42" s="138">
        <f t="shared" si="94"/>
        <v>0</v>
      </c>
      <c r="AS42" s="138">
        <f t="shared" si="87"/>
        <v>31877.699999999997</v>
      </c>
      <c r="AT42" s="110"/>
      <c r="AU42" s="533"/>
      <c r="AV42" s="532">
        <f t="shared" si="95"/>
        <v>31877.699999999997</v>
      </c>
      <c r="AW42" s="401">
        <f t="shared" si="88"/>
        <v>2.4521307692307692</v>
      </c>
      <c r="AX42" s="472" t="s">
        <v>7</v>
      </c>
      <c r="AY42" s="137">
        <f t="shared" si="96"/>
        <v>13000</v>
      </c>
      <c r="AZ42" s="94">
        <f t="shared" si="97"/>
        <v>31877.699999999997</v>
      </c>
      <c r="BA42" s="40" t="s">
        <v>7</v>
      </c>
      <c r="BB42" s="162"/>
      <c r="BC42" s="149"/>
      <c r="BD42" s="141"/>
      <c r="BE42" s="141"/>
      <c r="BF42" s="141"/>
      <c r="BG42" s="140"/>
      <c r="BH42" s="140"/>
    </row>
    <row r="43" spans="1:60" s="6" customFormat="1" ht="15" customHeight="1">
      <c r="A43" s="9" t="s">
        <v>7</v>
      </c>
      <c r="B43" s="945" t="str">
        <f t="shared" si="89"/>
        <v>Depot aktiv</v>
      </c>
      <c r="C43" s="475" t="s">
        <v>199</v>
      </c>
      <c r="D43" s="170" t="str">
        <f t="shared" si="75"/>
        <v>Aktie-5</v>
      </c>
      <c r="E43" s="537"/>
      <c r="F43" s="507">
        <f t="shared" ca="1" si="73"/>
        <v>1</v>
      </c>
      <c r="G43" s="549"/>
      <c r="H43" s="549"/>
      <c r="I43" s="549"/>
      <c r="J43" s="549"/>
      <c r="K43" s="549"/>
      <c r="L43" s="567"/>
      <c r="M43" s="549"/>
      <c r="N43" s="549"/>
      <c r="O43" s="34">
        <f t="shared" si="76"/>
        <v>2</v>
      </c>
      <c r="P43" s="35">
        <f t="shared" si="77"/>
        <v>2406</v>
      </c>
      <c r="Q43" s="486">
        <v>1203</v>
      </c>
      <c r="R43" s="258">
        <f t="shared" si="78"/>
        <v>2331</v>
      </c>
      <c r="S43" s="262">
        <f t="shared" si="78"/>
        <v>0</v>
      </c>
      <c r="T43" s="288">
        <f t="shared" si="79"/>
        <v>0</v>
      </c>
      <c r="U43" s="110"/>
      <c r="V43" s="36">
        <f t="shared" si="80"/>
        <v>-6.6000000000000005</v>
      </c>
      <c r="W43" s="97">
        <f t="shared" si="80"/>
        <v>0</v>
      </c>
      <c r="X43" s="169"/>
      <c r="Y43" s="437">
        <f t="shared" si="81"/>
        <v>1</v>
      </c>
      <c r="Z43" s="432" t="str">
        <f t="shared" si="82"/>
        <v>Aktie-5</v>
      </c>
      <c r="AA43" s="169"/>
      <c r="AB43" s="927">
        <f t="shared" si="90"/>
        <v>1</v>
      </c>
      <c r="AC43" s="926">
        <f t="shared" si="91"/>
        <v>0</v>
      </c>
      <c r="AD43" s="169"/>
      <c r="AE43" s="435">
        <f t="shared" si="83"/>
        <v>1</v>
      </c>
      <c r="AF43" s="379" t="str">
        <f t="shared" si="84"/>
        <v>Aktie-5</v>
      </c>
      <c r="AG43" s="350"/>
      <c r="AH43" s="313">
        <f t="shared" si="92"/>
        <v>0</v>
      </c>
      <c r="AI43" s="313">
        <f t="shared" si="93"/>
        <v>0</v>
      </c>
      <c r="AJ43" s="169"/>
      <c r="AK43" s="169"/>
      <c r="AL43" s="334"/>
      <c r="AM43" s="350"/>
      <c r="AN43" s="169"/>
      <c r="AO43" s="169"/>
      <c r="AP43" s="138">
        <f t="shared" si="85"/>
        <v>2331</v>
      </c>
      <c r="AQ43" s="391">
        <f t="shared" si="86"/>
        <v>0</v>
      </c>
      <c r="AR43" s="138">
        <f t="shared" si="94"/>
        <v>0</v>
      </c>
      <c r="AS43" s="138">
        <f t="shared" si="87"/>
        <v>68.400000000000006</v>
      </c>
      <c r="AT43" s="110"/>
      <c r="AU43" s="533"/>
      <c r="AV43" s="532">
        <f t="shared" si="95"/>
        <v>68.400000000000006</v>
      </c>
      <c r="AW43" s="401">
        <f t="shared" si="88"/>
        <v>2.9343629343629347E-2</v>
      </c>
      <c r="AX43" s="472" t="s">
        <v>7</v>
      </c>
      <c r="AY43" s="137">
        <f t="shared" si="96"/>
        <v>2331</v>
      </c>
      <c r="AZ43" s="94">
        <f t="shared" si="97"/>
        <v>68.400000000000006</v>
      </c>
      <c r="BA43" s="40" t="s">
        <v>7</v>
      </c>
      <c r="BB43" s="162"/>
      <c r="BC43" s="149"/>
      <c r="BD43" s="141"/>
      <c r="BE43" s="141"/>
      <c r="BF43" s="141"/>
      <c r="BG43" s="140"/>
      <c r="BH43" s="140"/>
    </row>
    <row r="44" spans="1:60" s="6" customFormat="1" ht="15" customHeight="1">
      <c r="A44" s="9" t="s">
        <v>7</v>
      </c>
      <c r="B44" s="945" t="str">
        <f t="shared" si="89"/>
        <v>Depot aktiv</v>
      </c>
      <c r="C44" s="475" t="s">
        <v>200</v>
      </c>
      <c r="D44" s="170" t="str">
        <f t="shared" si="75"/>
        <v>Aktie-6</v>
      </c>
      <c r="E44" s="537"/>
      <c r="F44" s="507">
        <f t="shared" ca="1" si="73"/>
        <v>1</v>
      </c>
      <c r="G44" s="549"/>
      <c r="H44" s="549"/>
      <c r="I44" s="549"/>
      <c r="J44" s="549"/>
      <c r="K44" s="549"/>
      <c r="L44" s="567"/>
      <c r="M44" s="549"/>
      <c r="N44" s="549"/>
      <c r="O44" s="34">
        <f t="shared" si="76"/>
        <v>300</v>
      </c>
      <c r="P44" s="35">
        <f t="shared" si="77"/>
        <v>4596</v>
      </c>
      <c r="Q44" s="486">
        <v>15.32</v>
      </c>
      <c r="R44" s="258">
        <f t="shared" si="78"/>
        <v>5679</v>
      </c>
      <c r="S44" s="262">
        <f t="shared" si="78"/>
        <v>0</v>
      </c>
      <c r="T44" s="288">
        <f t="shared" si="79"/>
        <v>0</v>
      </c>
      <c r="U44" s="110"/>
      <c r="V44" s="36">
        <f t="shared" si="80"/>
        <v>-21.5</v>
      </c>
      <c r="W44" s="97">
        <f t="shared" si="80"/>
        <v>0</v>
      </c>
      <c r="X44" s="169"/>
      <c r="Y44" s="437">
        <f t="shared" si="81"/>
        <v>1</v>
      </c>
      <c r="Z44" s="432" t="str">
        <f t="shared" si="82"/>
        <v>Aktie-6</v>
      </c>
      <c r="AA44" s="169"/>
      <c r="AB44" s="927">
        <f t="shared" si="90"/>
        <v>1</v>
      </c>
      <c r="AC44" s="926">
        <f t="shared" si="91"/>
        <v>0</v>
      </c>
      <c r="AD44" s="169"/>
      <c r="AE44" s="435">
        <f t="shared" si="83"/>
        <v>1</v>
      </c>
      <c r="AF44" s="379" t="str">
        <f t="shared" si="84"/>
        <v>Aktie-6</v>
      </c>
      <c r="AG44" s="350"/>
      <c r="AH44" s="313">
        <f t="shared" si="92"/>
        <v>0</v>
      </c>
      <c r="AI44" s="313">
        <f t="shared" si="93"/>
        <v>0</v>
      </c>
      <c r="AJ44" s="169"/>
      <c r="AK44" s="169"/>
      <c r="AL44" s="334"/>
      <c r="AM44" s="350"/>
      <c r="AN44" s="169"/>
      <c r="AO44" s="169"/>
      <c r="AP44" s="138">
        <f t="shared" si="85"/>
        <v>5679</v>
      </c>
      <c r="AQ44" s="391">
        <f t="shared" si="86"/>
        <v>0</v>
      </c>
      <c r="AR44" s="138">
        <f t="shared" si="94"/>
        <v>0</v>
      </c>
      <c r="AS44" s="138">
        <f t="shared" si="87"/>
        <v>-1104.5</v>
      </c>
      <c r="AT44" s="110"/>
      <c r="AU44" s="533"/>
      <c r="AV44" s="532">
        <f t="shared" si="95"/>
        <v>-1104.5</v>
      </c>
      <c r="AW44" s="401">
        <f t="shared" si="88"/>
        <v>-0.19448846627927452</v>
      </c>
      <c r="AX44" s="472" t="s">
        <v>7</v>
      </c>
      <c r="AY44" s="137">
        <f t="shared" si="96"/>
        <v>5679</v>
      </c>
      <c r="AZ44" s="94">
        <f t="shared" si="97"/>
        <v>-1104.5</v>
      </c>
      <c r="BA44" s="40" t="s">
        <v>7</v>
      </c>
      <c r="BB44" s="162"/>
      <c r="BC44" s="149"/>
      <c r="BD44" s="141"/>
      <c r="BE44" s="141"/>
      <c r="BF44" s="141"/>
      <c r="BG44" s="140"/>
      <c r="BH44" s="140"/>
    </row>
    <row r="45" spans="1:60" s="6" customFormat="1" ht="15" customHeight="1">
      <c r="A45" s="9" t="s">
        <v>7</v>
      </c>
      <c r="B45" s="945" t="str">
        <f t="shared" si="89"/>
        <v/>
      </c>
      <c r="C45" s="475"/>
      <c r="D45" s="170" t="str">
        <f t="shared" si="75"/>
        <v/>
      </c>
      <c r="E45" s="537"/>
      <c r="F45" s="507">
        <f t="shared" ca="1" si="73"/>
        <v>1</v>
      </c>
      <c r="G45" s="549"/>
      <c r="H45" s="549"/>
      <c r="I45" s="549"/>
      <c r="J45" s="549"/>
      <c r="K45" s="549"/>
      <c r="L45" s="567"/>
      <c r="M45" s="549"/>
      <c r="N45" s="549"/>
      <c r="O45" s="34">
        <f t="shared" si="76"/>
        <v>0</v>
      </c>
      <c r="P45" s="35">
        <f t="shared" ref="P45" si="98">+O45*Q45</f>
        <v>0</v>
      </c>
      <c r="Q45" s="486"/>
      <c r="R45" s="258">
        <f t="shared" si="78"/>
        <v>0</v>
      </c>
      <c r="S45" s="262">
        <f t="shared" si="78"/>
        <v>0</v>
      </c>
      <c r="T45" s="288">
        <f t="shared" si="79"/>
        <v>0</v>
      </c>
      <c r="U45" s="110"/>
      <c r="V45" s="36">
        <f t="shared" si="80"/>
        <v>0</v>
      </c>
      <c r="W45" s="97">
        <f t="shared" si="80"/>
        <v>0</v>
      </c>
      <c r="X45" s="169"/>
      <c r="Y45" s="437">
        <f t="shared" si="81"/>
        <v>0</v>
      </c>
      <c r="Z45" s="432" t="str">
        <f t="shared" si="82"/>
        <v/>
      </c>
      <c r="AA45" s="169"/>
      <c r="AB45" s="927">
        <f t="shared" si="90"/>
        <v>0</v>
      </c>
      <c r="AC45" s="926">
        <f t="shared" si="91"/>
        <v>0</v>
      </c>
      <c r="AD45" s="169"/>
      <c r="AE45" s="435">
        <f t="shared" si="83"/>
        <v>0</v>
      </c>
      <c r="AF45" s="379" t="str">
        <f t="shared" si="84"/>
        <v/>
      </c>
      <c r="AG45" s="350"/>
      <c r="AH45" s="313">
        <f t="shared" si="92"/>
        <v>0</v>
      </c>
      <c r="AI45" s="313">
        <f t="shared" si="93"/>
        <v>0</v>
      </c>
      <c r="AJ45" s="169"/>
      <c r="AK45" s="169"/>
      <c r="AL45" s="334"/>
      <c r="AM45" s="350"/>
      <c r="AN45" s="169"/>
      <c r="AO45" s="169"/>
      <c r="AP45" s="138">
        <f t="shared" ref="AP45" si="99">IF(O45&lt;&gt;0,+R45,0)</f>
        <v>0</v>
      </c>
      <c r="AQ45" s="391">
        <f t="shared" ref="AQ45" si="100">IF(O45&lt;&gt;0,+S45,0)</f>
        <v>0</v>
      </c>
      <c r="AR45" s="138">
        <f t="shared" si="94"/>
        <v>0</v>
      </c>
      <c r="AS45" s="138">
        <f t="shared" ref="AS45" si="101">IF(O45&lt;&gt;0,+AZ45,0)</f>
        <v>0</v>
      </c>
      <c r="AT45" s="110"/>
      <c r="AU45" s="533"/>
      <c r="AV45" s="532">
        <f t="shared" si="95"/>
        <v>0</v>
      </c>
      <c r="AW45" s="401" t="e">
        <f t="shared" si="88"/>
        <v>#DIV/0!</v>
      </c>
      <c r="AX45" s="472" t="s">
        <v>7</v>
      </c>
      <c r="AY45" s="137">
        <f t="shared" si="96"/>
        <v>0</v>
      </c>
      <c r="AZ45" s="94">
        <f t="shared" si="97"/>
        <v>0</v>
      </c>
      <c r="BA45" s="40" t="s">
        <v>7</v>
      </c>
      <c r="BB45" s="162"/>
      <c r="BC45" s="149"/>
      <c r="BD45" s="141"/>
      <c r="BE45" s="141"/>
      <c r="BF45" s="141"/>
      <c r="BG45" s="140"/>
      <c r="BH45" s="140"/>
    </row>
    <row r="46" spans="1:60" s="6" customFormat="1" ht="15" customHeight="1">
      <c r="A46" s="9" t="s">
        <v>7</v>
      </c>
      <c r="B46" s="945" t="str">
        <f t="shared" si="89"/>
        <v/>
      </c>
      <c r="C46" s="475"/>
      <c r="D46" s="170" t="str">
        <f t="shared" si="75"/>
        <v/>
      </c>
      <c r="E46" s="537"/>
      <c r="F46" s="507">
        <f t="shared" ca="1" si="73"/>
        <v>1</v>
      </c>
      <c r="G46" s="549"/>
      <c r="H46" s="549"/>
      <c r="I46" s="549"/>
      <c r="J46" s="549"/>
      <c r="K46" s="549"/>
      <c r="L46" s="567"/>
      <c r="M46" s="549"/>
      <c r="N46" s="549"/>
      <c r="O46" s="34">
        <f t="shared" si="76"/>
        <v>0</v>
      </c>
      <c r="P46" s="35">
        <f t="shared" ref="P46" si="102">+O46*Q46</f>
        <v>0</v>
      </c>
      <c r="Q46" s="486"/>
      <c r="R46" s="258">
        <f t="shared" si="78"/>
        <v>0</v>
      </c>
      <c r="S46" s="262">
        <f t="shared" si="78"/>
        <v>0</v>
      </c>
      <c r="T46" s="288">
        <f t="shared" si="79"/>
        <v>0</v>
      </c>
      <c r="U46" s="110"/>
      <c r="V46" s="36">
        <f t="shared" si="80"/>
        <v>0</v>
      </c>
      <c r="W46" s="97">
        <f t="shared" si="80"/>
        <v>0</v>
      </c>
      <c r="Y46" s="437">
        <f t="shared" si="81"/>
        <v>0</v>
      </c>
      <c r="Z46" s="432" t="str">
        <f t="shared" si="82"/>
        <v/>
      </c>
      <c r="AB46" s="927">
        <f t="shared" ref="AB46" si="103">IF(AE46&gt;0,1,0)</f>
        <v>0</v>
      </c>
      <c r="AC46" s="926">
        <f t="shared" ref="AC46" si="104">IF(AE46&lt;0,1,0)</f>
        <v>0</v>
      </c>
      <c r="AD46" s="12"/>
      <c r="AE46" s="435">
        <f t="shared" si="83"/>
        <v>0</v>
      </c>
      <c r="AF46" s="379" t="str">
        <f t="shared" si="84"/>
        <v/>
      </c>
      <c r="AG46" s="350"/>
      <c r="AH46" s="313">
        <f t="shared" si="92"/>
        <v>0</v>
      </c>
      <c r="AI46" s="313">
        <f t="shared" si="93"/>
        <v>0</v>
      </c>
      <c r="AJ46" s="169"/>
      <c r="AK46" s="169"/>
      <c r="AL46" s="334"/>
      <c r="AM46" s="350"/>
      <c r="AN46" s="169"/>
      <c r="AP46" s="138">
        <f t="shared" ref="AP46" si="105">IF(O46&lt;&gt;0,+R46,0)</f>
        <v>0</v>
      </c>
      <c r="AQ46" s="391">
        <f t="shared" ref="AQ46" si="106">IF(O46&lt;&gt;0,+S46,0)</f>
        <v>0</v>
      </c>
      <c r="AR46" s="138">
        <f t="shared" si="94"/>
        <v>0</v>
      </c>
      <c r="AS46" s="138">
        <f t="shared" ref="AS46" si="107">IF(O46&lt;&gt;0,+AZ46,0)</f>
        <v>0</v>
      </c>
      <c r="AT46" s="110"/>
      <c r="AU46" s="533"/>
      <c r="AV46" s="532">
        <f>+AR46+AS46</f>
        <v>0</v>
      </c>
      <c r="AW46" s="401" t="e">
        <f t="shared" ref="AW46" si="108">AZ46/AY46</f>
        <v>#DIV/0!</v>
      </c>
      <c r="AX46" s="472" t="s">
        <v>7</v>
      </c>
      <c r="AY46" s="137">
        <f t="shared" si="96"/>
        <v>0</v>
      </c>
      <c r="AZ46" s="94">
        <f t="shared" si="97"/>
        <v>0</v>
      </c>
      <c r="BA46" s="40" t="s">
        <v>7</v>
      </c>
      <c r="BB46" s="162"/>
      <c r="BC46" s="149"/>
      <c r="BD46" s="141"/>
      <c r="BE46" s="141"/>
      <c r="BF46" s="141"/>
      <c r="BG46" s="140"/>
      <c r="BH46" s="140"/>
    </row>
    <row r="47" spans="1:60" s="59" customFormat="1" ht="5" customHeight="1">
      <c r="A47" s="1023" t="s">
        <v>12</v>
      </c>
      <c r="B47" s="1026"/>
      <c r="C47" s="1024" t="s">
        <v>40</v>
      </c>
      <c r="D47" s="165"/>
      <c r="E47" s="538"/>
      <c r="F47" s="507">
        <f t="shared" ca="1" si="73"/>
        <v>1</v>
      </c>
      <c r="G47" s="549"/>
      <c r="H47" s="549"/>
      <c r="I47" s="549"/>
      <c r="J47" s="549"/>
      <c r="K47" s="549"/>
      <c r="L47" s="567"/>
      <c r="M47" s="549"/>
      <c r="N47" s="549"/>
      <c r="O47" s="55"/>
      <c r="P47" s="56"/>
      <c r="Q47" s="157"/>
      <c r="R47" s="57"/>
      <c r="S47" s="58"/>
      <c r="T47" s="88"/>
      <c r="U47" s="108"/>
      <c r="V47" s="210"/>
      <c r="W47" s="211"/>
      <c r="X47" s="416"/>
      <c r="Y47" s="433">
        <v>0</v>
      </c>
      <c r="Z47" s="417"/>
      <c r="AA47" s="417"/>
      <c r="AB47" s="928">
        <v>0</v>
      </c>
      <c r="AC47" s="928">
        <v>0</v>
      </c>
      <c r="AD47" s="417"/>
      <c r="AE47" s="433">
        <v>0</v>
      </c>
      <c r="AF47" s="419"/>
      <c r="AG47" s="420"/>
      <c r="AH47" s="421"/>
      <c r="AI47" s="418"/>
      <c r="AJ47" s="418"/>
      <c r="AK47" s="418"/>
      <c r="AL47" s="422"/>
      <c r="AM47" s="420"/>
      <c r="AN47" s="418"/>
      <c r="AO47" s="417"/>
      <c r="AP47" s="212"/>
      <c r="AQ47" s="392"/>
      <c r="AR47" s="212"/>
      <c r="AS47" s="213"/>
      <c r="AT47" s="108"/>
      <c r="AU47" s="524"/>
      <c r="AV47" s="213"/>
      <c r="AW47" s="213"/>
      <c r="AX47" s="472" t="s">
        <v>7</v>
      </c>
      <c r="AY47" s="214"/>
      <c r="AZ47" s="1034" t="s">
        <v>79</v>
      </c>
      <c r="BA47" s="998" t="s">
        <v>12</v>
      </c>
      <c r="BB47" s="162"/>
      <c r="BC47" s="149"/>
      <c r="BD47" s="141"/>
      <c r="BE47" s="141"/>
      <c r="BF47" s="141"/>
      <c r="BG47" s="145"/>
      <c r="BH47" s="145"/>
    </row>
    <row r="48" spans="1:60" s="12" customFormat="1" ht="12" customHeight="1">
      <c r="A48" s="1023"/>
      <c r="B48" s="1026"/>
      <c r="C48" s="1025"/>
      <c r="D48" s="166"/>
      <c r="E48" s="539"/>
      <c r="F48" s="507">
        <f t="shared" ca="1" si="73"/>
        <v>1</v>
      </c>
      <c r="G48" s="549"/>
      <c r="H48" s="549"/>
      <c r="I48" s="549"/>
      <c r="J48" s="549"/>
      <c r="K48" s="549"/>
      <c r="L48" s="567"/>
      <c r="M48" s="549"/>
      <c r="N48" s="549"/>
      <c r="O48" s="1000" t="str">
        <f>IF(O55=0," Zeile einfügen: graue Zelle markieren und Menü &lt;Start/Einfügen/Blattzeile einfügen&gt;"," bis hierher ziehen!")</f>
        <v xml:space="preserve"> Zeile einfügen: graue Zelle markieren und Menü &lt;Start/Einfügen/Blattzeile einfügen&gt;</v>
      </c>
      <c r="P48" s="1001"/>
      <c r="Q48" s="1001"/>
      <c r="R48" s="1001"/>
      <c r="S48" s="1001"/>
      <c r="T48" s="1001"/>
      <c r="U48" s="1001"/>
      <c r="V48" s="1001"/>
      <c r="W48" s="1001"/>
      <c r="X48" s="1001"/>
      <c r="Y48" s="1001"/>
      <c r="Z48" s="1001"/>
      <c r="AA48" s="1001"/>
      <c r="AB48" s="1001"/>
      <c r="AC48" s="1001"/>
      <c r="AD48" s="1001"/>
      <c r="AE48" s="1001"/>
      <c r="AF48" s="1001"/>
      <c r="AG48" s="1001"/>
      <c r="AH48" s="1001"/>
      <c r="AI48" s="1001"/>
      <c r="AJ48" s="1001"/>
      <c r="AK48" s="1001"/>
      <c r="AL48" s="1001"/>
      <c r="AM48" s="1001"/>
      <c r="AN48" s="1001"/>
      <c r="AO48" s="1001"/>
      <c r="AP48" s="1001"/>
      <c r="AQ48" s="1001"/>
      <c r="AR48" s="1001"/>
      <c r="AS48" s="1001"/>
      <c r="AT48" s="1001"/>
      <c r="AU48" s="1001"/>
      <c r="AV48" s="1001"/>
      <c r="AW48" s="1001"/>
      <c r="AX48" s="472" t="s">
        <v>7</v>
      </c>
      <c r="AY48" s="39"/>
      <c r="AZ48" s="1035"/>
      <c r="BA48" s="998"/>
      <c r="BB48" s="162"/>
      <c r="BC48" s="149"/>
      <c r="BD48" s="141"/>
      <c r="BE48" s="141"/>
      <c r="BF48" s="141"/>
      <c r="BG48" s="141"/>
      <c r="BH48" s="141"/>
    </row>
    <row r="49" spans="1:60" ht="10.050000000000001" customHeight="1" thickBot="1">
      <c r="B49" s="949" t="s">
        <v>5</v>
      </c>
      <c r="C49" s="234" t="s">
        <v>5</v>
      </c>
      <c r="D49" s="215"/>
      <c r="E49" s="540"/>
      <c r="F49" s="507">
        <f t="shared" ca="1" si="73"/>
        <v>1</v>
      </c>
      <c r="G49" s="268">
        <f t="shared" si="74"/>
        <v>0</v>
      </c>
      <c r="H49" s="268">
        <f t="shared" si="74"/>
        <v>0</v>
      </c>
      <c r="I49" s="268">
        <f t="shared" si="74"/>
        <v>0</v>
      </c>
      <c r="J49" s="268">
        <f t="shared" si="74"/>
        <v>0</v>
      </c>
      <c r="K49" s="268">
        <f t="shared" si="74"/>
        <v>0</v>
      </c>
      <c r="L49" s="567">
        <f>IF(L$13=$B49,1,0)</f>
        <v>0</v>
      </c>
      <c r="M49" s="268">
        <f t="shared" si="74"/>
        <v>0</v>
      </c>
      <c r="N49" s="268">
        <f t="shared" si="74"/>
        <v>1</v>
      </c>
      <c r="O49" s="216"/>
      <c r="P49" s="217"/>
      <c r="Q49" s="218"/>
      <c r="R49" s="219"/>
      <c r="S49" s="219"/>
      <c r="T49" s="220"/>
      <c r="U49" s="221"/>
      <c r="V49" s="219"/>
      <c r="W49" s="222"/>
      <c r="X49" s="222"/>
      <c r="Y49" s="222"/>
      <c r="Z49" s="459"/>
      <c r="AA49" s="222"/>
      <c r="AB49" s="222"/>
      <c r="AC49" s="222"/>
      <c r="AD49" s="444"/>
      <c r="AE49" s="222"/>
      <c r="AF49" s="299"/>
      <c r="AG49" s="223"/>
      <c r="AH49" s="314"/>
      <c r="AI49" s="222"/>
      <c r="AJ49" s="222"/>
      <c r="AK49" s="222"/>
      <c r="AL49" s="335"/>
      <c r="AM49" s="223"/>
      <c r="AN49" s="222"/>
      <c r="AO49" s="222"/>
      <c r="AP49" s="223"/>
      <c r="AQ49" s="299"/>
      <c r="AR49" s="223"/>
      <c r="AS49" s="224"/>
      <c r="AT49" s="221"/>
      <c r="AU49" s="526"/>
      <c r="AV49" s="224"/>
      <c r="AW49" s="224"/>
      <c r="AX49" s="225"/>
      <c r="AY49" s="215"/>
      <c r="AZ49" s="215"/>
    </row>
    <row r="50" spans="1:60" s="12" customFormat="1" ht="5" customHeight="1">
      <c r="B50" s="949" t="s">
        <v>5</v>
      </c>
      <c r="C50" s="99" t="s">
        <v>5</v>
      </c>
      <c r="E50" s="536"/>
      <c r="F50" s="507">
        <f t="shared" ca="1" si="73"/>
        <v>1</v>
      </c>
      <c r="G50" s="268">
        <f t="shared" ref="G50:N52" si="109">IF(G$13=$B50,1,0)</f>
        <v>0</v>
      </c>
      <c r="H50" s="268">
        <f t="shared" si="109"/>
        <v>0</v>
      </c>
      <c r="I50" s="268">
        <f t="shared" si="109"/>
        <v>0</v>
      </c>
      <c r="J50" s="268">
        <f t="shared" si="109"/>
        <v>0</v>
      </c>
      <c r="K50" s="268">
        <f t="shared" si="109"/>
        <v>0</v>
      </c>
      <c r="L50" s="567">
        <f>IF(L$13=$B50,1,0)</f>
        <v>0</v>
      </c>
      <c r="M50" s="268">
        <f t="shared" si="109"/>
        <v>0</v>
      </c>
      <c r="N50" s="268">
        <f t="shared" si="109"/>
        <v>1</v>
      </c>
      <c r="O50" s="197"/>
      <c r="P50" s="199"/>
      <c r="Q50" s="200"/>
      <c r="R50" s="201"/>
      <c r="S50" s="201"/>
      <c r="T50" s="202"/>
      <c r="U50" s="203"/>
      <c r="V50" s="201"/>
      <c r="W50" s="204"/>
      <c r="X50" s="204"/>
      <c r="Y50" s="204"/>
      <c r="Z50" s="460"/>
      <c r="AA50" s="204"/>
      <c r="AB50" s="204"/>
      <c r="AC50" s="204"/>
      <c r="AD50" s="204"/>
      <c r="AE50" s="204"/>
      <c r="AF50" s="300"/>
      <c r="AG50" s="205"/>
      <c r="AH50" s="315"/>
      <c r="AI50" s="204"/>
      <c r="AJ50" s="204"/>
      <c r="AK50" s="204"/>
      <c r="AL50" s="336"/>
      <c r="AM50" s="205"/>
      <c r="AN50" s="204"/>
      <c r="AO50" s="204"/>
      <c r="AP50" s="205"/>
      <c r="AQ50" s="300"/>
      <c r="AR50" s="205"/>
      <c r="AS50" s="206"/>
      <c r="AT50" s="203"/>
      <c r="AU50" s="524"/>
      <c r="AV50" s="206"/>
      <c r="AW50" s="206"/>
      <c r="AX50" s="126"/>
      <c r="BA50" s="198"/>
      <c r="BB50" s="162"/>
      <c r="BC50" s="149"/>
      <c r="BD50" s="141"/>
      <c r="BE50" s="141"/>
      <c r="BF50" s="141"/>
      <c r="BG50" s="141"/>
      <c r="BH50" s="141"/>
    </row>
    <row r="51" spans="1:60" s="12" customFormat="1" ht="17.75" customHeight="1">
      <c r="B51" s="949" t="s">
        <v>5</v>
      </c>
      <c r="C51" s="496" t="s">
        <v>5</v>
      </c>
      <c r="D51" s="15"/>
      <c r="E51" s="536"/>
      <c r="F51" s="507">
        <f t="shared" ca="1" si="73"/>
        <v>1</v>
      </c>
      <c r="G51" s="268">
        <f t="shared" si="109"/>
        <v>0</v>
      </c>
      <c r="H51" s="268">
        <f t="shared" si="109"/>
        <v>0</v>
      </c>
      <c r="I51" s="268">
        <f t="shared" si="109"/>
        <v>0</v>
      </c>
      <c r="J51" s="268">
        <f t="shared" si="109"/>
        <v>0</v>
      </c>
      <c r="K51" s="268">
        <f t="shared" si="109"/>
        <v>0</v>
      </c>
      <c r="L51" s="567">
        <f>IF(L$13=$B51,1,0)</f>
        <v>0</v>
      </c>
      <c r="M51" s="268">
        <f t="shared" si="109"/>
        <v>0</v>
      </c>
      <c r="N51" s="268">
        <f t="shared" si="109"/>
        <v>1</v>
      </c>
      <c r="O51" s="226" t="s">
        <v>3</v>
      </c>
      <c r="P51" s="235" t="str">
        <f>IF(O52&lt;=0," aktuell","verbleiben")</f>
        <v xml:space="preserve"> aktuell</v>
      </c>
      <c r="Q51" s="502" t="s">
        <v>8</v>
      </c>
      <c r="R51" s="503" t="s">
        <v>173</v>
      </c>
      <c r="S51" s="227" t="s">
        <v>15</v>
      </c>
      <c r="T51" s="228" t="s">
        <v>81</v>
      </c>
      <c r="U51" s="229"/>
      <c r="V51" s="46" t="s">
        <v>6</v>
      </c>
      <c r="W51" s="46" t="s">
        <v>86</v>
      </c>
      <c r="X51" s="230"/>
      <c r="Y51" s="230"/>
      <c r="Z51" s="461"/>
      <c r="AA51" s="230"/>
      <c r="AB51" s="230"/>
      <c r="AC51" s="230"/>
      <c r="AD51" s="230"/>
      <c r="AE51" s="230"/>
      <c r="AF51" s="301"/>
      <c r="AG51" s="231"/>
      <c r="AH51" s="316"/>
      <c r="AI51" s="230"/>
      <c r="AJ51" s="230"/>
      <c r="AK51" s="230"/>
      <c r="AM51" s="231"/>
      <c r="AN51" s="230"/>
      <c r="AO51" s="230"/>
      <c r="AP51" s="231"/>
      <c r="AQ51" s="301"/>
      <c r="AR51" s="231"/>
      <c r="AS51" s="232"/>
      <c r="AT51" s="229"/>
      <c r="AU51" s="1044" t="s">
        <v>169</v>
      </c>
      <c r="AV51" s="1044"/>
      <c r="AW51" s="46" t="s">
        <v>85</v>
      </c>
      <c r="AX51" s="233"/>
      <c r="AY51" s="64" t="s">
        <v>87</v>
      </c>
      <c r="AZ51" s="535" t="s">
        <v>88</v>
      </c>
      <c r="BA51" s="198"/>
      <c r="BB51" s="162"/>
      <c r="BC51" s="149"/>
      <c r="BD51" s="141"/>
      <c r="BE51" s="141"/>
      <c r="BF51" s="141"/>
      <c r="BG51" s="141"/>
      <c r="BH51" s="141"/>
    </row>
    <row r="52" spans="1:60" s="12" customFormat="1" ht="13.5">
      <c r="B52" s="950" t="s">
        <v>5</v>
      </c>
      <c r="C52" s="487"/>
      <c r="D52" s="208"/>
      <c r="E52" s="541"/>
      <c r="F52" s="507">
        <f t="shared" ca="1" si="73"/>
        <v>1</v>
      </c>
      <c r="G52" s="268">
        <f t="shared" si="109"/>
        <v>0</v>
      </c>
      <c r="H52" s="268">
        <f t="shared" si="109"/>
        <v>0</v>
      </c>
      <c r="I52" s="268">
        <f t="shared" si="109"/>
        <v>0</v>
      </c>
      <c r="J52" s="268">
        <f t="shared" si="109"/>
        <v>0</v>
      </c>
      <c r="K52" s="268">
        <f t="shared" si="109"/>
        <v>0</v>
      </c>
      <c r="L52" s="567">
        <f>IF(L$13=$B52,1,0)</f>
        <v>0</v>
      </c>
      <c r="M52" s="268">
        <f t="shared" si="109"/>
        <v>0</v>
      </c>
      <c r="N52" s="268">
        <f t="shared" si="109"/>
        <v>1</v>
      </c>
      <c r="O52" s="489"/>
      <c r="P52" s="545">
        <f>IF(O52&lt;=0,AH6,+AH6+AG6)</f>
        <v>0</v>
      </c>
      <c r="Q52" s="493">
        <f>IF(R51="Wert manuell [-]",+R52,IF(R51="&lt; ja",+$V$2,0))</f>
        <v>-1234.56</v>
      </c>
      <c r="R52" s="902"/>
      <c r="S52" s="237">
        <f>+$AN$6</f>
        <v>0</v>
      </c>
      <c r="T52" s="238">
        <f>IF(S52+Q52&gt;0,S52+Q52,0)</f>
        <v>0</v>
      </c>
      <c r="U52" s="185"/>
      <c r="V52" s="239">
        <f>-T52*0.25</f>
        <v>0</v>
      </c>
      <c r="W52" s="239">
        <f>+V52*0.055</f>
        <v>0</v>
      </c>
      <c r="X52" s="204"/>
      <c r="Y52" s="936" t="s">
        <v>153</v>
      </c>
      <c r="Z52" s="936"/>
      <c r="AA52" s="936"/>
      <c r="AE52" s="936" t="s">
        <v>47</v>
      </c>
      <c r="AG52" s="936" t="s">
        <v>25</v>
      </c>
      <c r="AI52" s="936" t="s">
        <v>24</v>
      </c>
      <c r="AL52" s="936" t="s">
        <v>183</v>
      </c>
      <c r="AM52" s="936" t="s">
        <v>184</v>
      </c>
      <c r="AN52" s="936"/>
      <c r="AO52" s="204"/>
      <c r="AP52" s="936" t="s">
        <v>189</v>
      </c>
      <c r="AQ52" s="936" t="s">
        <v>190</v>
      </c>
      <c r="AS52" s="936" t="s">
        <v>5</v>
      </c>
      <c r="AT52" s="185"/>
      <c r="AU52" s="589"/>
      <c r="AV52" s="590">
        <f>IF(AW52="ja",V52*0.08,0)</f>
        <v>0</v>
      </c>
      <c r="AW52" s="490" t="s">
        <v>178</v>
      </c>
      <c r="AX52" s="407"/>
      <c r="AY52" s="423">
        <f>+S52+AZ52</f>
        <v>0</v>
      </c>
      <c r="AZ52" s="534">
        <f>+AV52+W52+V52</f>
        <v>0</v>
      </c>
      <c r="BA52" s="198"/>
      <c r="BB52" s="162"/>
      <c r="BC52" s="149"/>
      <c r="BD52" s="141"/>
      <c r="BE52" s="141"/>
      <c r="BF52" s="141"/>
      <c r="BG52" s="141"/>
      <c r="BH52" s="141"/>
    </row>
    <row r="53" spans="1:60" s="12" customFormat="1" ht="3" customHeight="1" thickBot="1">
      <c r="A53" s="95"/>
      <c r="B53" s="951" t="s">
        <v>7</v>
      </c>
      <c r="C53" s="242" t="s">
        <v>7</v>
      </c>
      <c r="D53" s="242"/>
      <c r="E53" s="558"/>
      <c r="F53" s="511">
        <f t="shared" ca="1" si="73"/>
        <v>1</v>
      </c>
      <c r="G53" s="269" t="s">
        <v>47</v>
      </c>
      <c r="H53" s="269" t="s">
        <v>24</v>
      </c>
      <c r="I53" s="269" t="s">
        <v>25</v>
      </c>
      <c r="J53" s="269" t="s">
        <v>111</v>
      </c>
      <c r="K53" s="269" t="s">
        <v>152</v>
      </c>
      <c r="L53" s="568" t="s">
        <v>153</v>
      </c>
      <c r="M53" s="269" t="s">
        <v>154</v>
      </c>
      <c r="N53" s="269" t="s">
        <v>5</v>
      </c>
      <c r="O53" s="243"/>
      <c r="P53" s="244"/>
      <c r="Q53" s="244"/>
      <c r="R53" s="243"/>
      <c r="S53" s="243"/>
      <c r="T53" s="243"/>
      <c r="U53" s="245"/>
      <c r="V53" s="243"/>
      <c r="W53" s="243"/>
      <c r="X53" s="243"/>
      <c r="Y53" s="937" t="str">
        <f>IF(L12&gt;0," !&gt;Einzelauswahl |","")</f>
        <v/>
      </c>
      <c r="Z53" s="462"/>
      <c r="AA53" s="243"/>
      <c r="AB53" s="938"/>
      <c r="AC53" s="938"/>
      <c r="AD53" s="938"/>
      <c r="AE53" s="939" t="str">
        <f>IF(G$12&gt;0," §-AGS |","")</f>
        <v/>
      </c>
      <c r="AF53" s="938"/>
      <c r="AG53" s="939" t="str">
        <f>IF(I$12&gt;0," $-Bank |","")</f>
        <v xml:space="preserve"> $-Bank |</v>
      </c>
      <c r="AH53" s="938"/>
      <c r="AI53" s="939" t="str">
        <f>IF(H$12&gt;0," €-Einlage |","")</f>
        <v xml:space="preserve"> €-Einlage |</v>
      </c>
      <c r="AJ53" s="938"/>
      <c r="AK53" s="938"/>
      <c r="AL53" s="939" t="str">
        <f>IF(J$12&gt;0," Aktien aktiv |","")</f>
        <v xml:space="preserve"> Aktien aktiv |</v>
      </c>
      <c r="AM53" s="939" t="str">
        <f>IF(K$12&gt;0," Aktien historisch |","")</f>
        <v xml:space="preserve"> Aktien historisch |</v>
      </c>
      <c r="AN53" s="243"/>
      <c r="AO53" s="243"/>
      <c r="AP53" s="939" t="str">
        <f>IF(AB38," Depot aktiv |","")</f>
        <v xml:space="preserve"> Depot aktiv |</v>
      </c>
      <c r="AQ53" s="939" t="str">
        <f>IF(AC38," Depot historisch |","")</f>
        <v xml:space="preserve"> Depot historisch |</v>
      </c>
      <c r="AR53" s="938"/>
      <c r="AS53" s="939" t="str">
        <f>IF(N$6&gt;0," Verkauf |","")</f>
        <v xml:space="preserve"> Verkauf |</v>
      </c>
      <c r="AT53" s="245"/>
      <c r="AU53" s="527"/>
      <c r="AV53" s="243"/>
      <c r="AW53" s="243"/>
      <c r="AX53" s="243"/>
      <c r="AY53" s="246"/>
      <c r="AZ53" s="246"/>
      <c r="BA53" s="84"/>
      <c r="BB53" s="162"/>
      <c r="BC53" s="149"/>
      <c r="BD53" s="141"/>
      <c r="BE53" s="141"/>
      <c r="BF53" s="141"/>
      <c r="BG53" s="141"/>
      <c r="BH53" s="141"/>
    </row>
    <row r="54" spans="1:60" s="32" customFormat="1" ht="3" customHeight="1">
      <c r="A54" s="9" t="s">
        <v>7</v>
      </c>
      <c r="B54" s="945" t="s">
        <v>7</v>
      </c>
      <c r="C54" s="32" t="s">
        <v>7</v>
      </c>
      <c r="D54" s="388"/>
      <c r="E54" s="922"/>
      <c r="F54" s="923"/>
      <c r="G54" s="923"/>
      <c r="H54" s="388"/>
      <c r="I54" s="923"/>
      <c r="J54" s="923"/>
      <c r="K54" s="923"/>
      <c r="L54" s="923"/>
      <c r="M54" s="923"/>
      <c r="N54" s="923"/>
      <c r="U54" s="99"/>
      <c r="X54" s="295"/>
      <c r="Y54" s="388"/>
      <c r="Z54" s="295"/>
      <c r="AA54" s="295"/>
      <c r="AB54" s="295"/>
      <c r="AC54" s="295"/>
      <c r="AD54" s="924"/>
      <c r="AE54" s="295"/>
      <c r="AF54" s="295"/>
      <c r="AG54" s="295"/>
      <c r="AH54" s="311"/>
      <c r="AI54" s="295"/>
      <c r="AJ54" s="295"/>
      <c r="AK54" s="295"/>
      <c r="AL54" s="295"/>
      <c r="AM54" s="295"/>
      <c r="AN54" s="295"/>
      <c r="AO54" s="295"/>
      <c r="AP54" s="393"/>
      <c r="AQ54" s="393"/>
      <c r="AR54" s="393"/>
      <c r="AS54" s="393"/>
      <c r="AT54" s="99"/>
      <c r="AU54" s="524"/>
      <c r="AV54" s="42"/>
      <c r="AW54" s="42"/>
      <c r="AX54" s="102" t="s">
        <v>7</v>
      </c>
      <c r="AY54" s="43">
        <f>SUM(AY21:AY48)</f>
        <v>62401.214889977084</v>
      </c>
      <c r="AZ54" s="488">
        <f>SUM(AZ21:AZ48)</f>
        <v>347082.47600000008</v>
      </c>
      <c r="BB54" s="163"/>
      <c r="BC54" s="150"/>
      <c r="BD54" s="147"/>
      <c r="BE54" s="147"/>
      <c r="BF54" s="147"/>
      <c r="BG54" s="142"/>
      <c r="BH54" s="142"/>
    </row>
    <row r="55" spans="1:60" s="13" customFormat="1" ht="10.15" customHeight="1">
      <c r="A55" s="251"/>
      <c r="B55" s="945" t="s">
        <v>7</v>
      </c>
      <c r="C55" s="1042" t="str">
        <f ca="1">IF(N5=0,"Gesamtübersicht","Selektion: |"&amp;Y53&amp;AE53&amp;AG53&amp;AI53&amp;AL53&amp;AM53&amp;AP53&amp;AQ53&amp;AS53)</f>
        <v>Gesamtübersicht</v>
      </c>
      <c r="D55" s="1043"/>
      <c r="E55" s="1043"/>
      <c r="F55" s="1043"/>
      <c r="G55" s="1043"/>
      <c r="H55" s="1043"/>
      <c r="I55" s="1043"/>
      <c r="J55" s="1043"/>
      <c r="K55" s="1043"/>
      <c r="L55" s="1043"/>
      <c r="M55" s="1043"/>
      <c r="N55" s="1043"/>
      <c r="O55" s="1042"/>
      <c r="P55" s="1042"/>
      <c r="Q55" s="1042"/>
      <c r="R55" s="1042"/>
      <c r="S55" s="1042"/>
      <c r="T55" s="1042"/>
      <c r="U55" s="519"/>
      <c r="V55" s="585" t="s">
        <v>185</v>
      </c>
      <c r="W55" s="584">
        <v>45955</v>
      </c>
      <c r="X55" s="495"/>
      <c r="Y55" s="495"/>
      <c r="Z55" s="495"/>
      <c r="AA55" s="495"/>
      <c r="AB55" s="495"/>
      <c r="AC55" s="495"/>
      <c r="AD55" s="495"/>
      <c r="AE55" s="495"/>
      <c r="AF55" s="495"/>
      <c r="AG55" s="495"/>
      <c r="AH55" s="495"/>
      <c r="AI55" s="495"/>
      <c r="AJ55" s="495"/>
      <c r="AK55" s="495"/>
      <c r="AL55" s="495"/>
      <c r="AM55" s="495"/>
      <c r="AN55" s="495"/>
      <c r="AO55" s="495"/>
      <c r="AP55" s="495"/>
      <c r="AQ55" s="495"/>
      <c r="AR55" s="495"/>
      <c r="AS55" s="495"/>
      <c r="AT55" s="519"/>
      <c r="AU55" s="528"/>
      <c r="AV55" s="1041"/>
      <c r="AW55" s="1041"/>
      <c r="AX55" s="102" t="s">
        <v>7</v>
      </c>
      <c r="AY55" s="1033" t="str">
        <f ca="1">IF(AC4=1,"Eine neue Selektion ausführen!",IF(G5&lt;&gt;H5,"Eine Selektion ist aktiviert!","Es ist keine Selektion aktiviert."))</f>
        <v>Es ist keine Selektion aktiviert.</v>
      </c>
      <c r="AZ55" s="1033"/>
      <c r="BA55" s="32"/>
      <c r="BB55" s="162"/>
      <c r="BC55" s="149"/>
      <c r="BD55" s="141"/>
      <c r="BE55" s="141"/>
      <c r="BF55" s="141"/>
      <c r="BG55" s="143"/>
      <c r="BH55" s="143"/>
    </row>
    <row r="56" spans="1:60" s="12" customFormat="1" ht="13.15">
      <c r="B56" s="946"/>
      <c r="E56" s="553"/>
      <c r="F56" s="512"/>
      <c r="G56" s="270"/>
      <c r="H56" s="270"/>
      <c r="I56" s="270"/>
      <c r="J56" s="270"/>
      <c r="K56" s="270"/>
      <c r="L56" s="270"/>
      <c r="M56" s="270"/>
      <c r="N56" s="270"/>
      <c r="O56" s="283"/>
      <c r="P56" s="266"/>
      <c r="Q56" s="266"/>
      <c r="R56" s="266"/>
      <c r="S56" s="266"/>
      <c r="T56" s="283"/>
      <c r="U56" s="284"/>
      <c r="V56" s="285"/>
      <c r="W56" s="286"/>
      <c r="X56" s="275"/>
      <c r="Y56" s="275"/>
      <c r="Z56" s="463"/>
      <c r="AA56" s="275"/>
      <c r="AB56" s="275"/>
      <c r="AC56" s="275"/>
      <c r="AD56" s="445"/>
      <c r="AE56" s="275"/>
      <c r="AF56" s="302"/>
      <c r="AG56" s="351"/>
      <c r="AH56" s="308"/>
      <c r="AI56" s="275"/>
      <c r="AJ56" s="275"/>
      <c r="AK56" s="275"/>
      <c r="AL56" s="337"/>
      <c r="AM56" s="351"/>
      <c r="AN56" s="275"/>
      <c r="AO56" s="275"/>
      <c r="AP56" s="274"/>
      <c r="AQ56" s="394"/>
      <c r="AR56" s="397"/>
      <c r="AS56" s="274"/>
      <c r="AT56" s="284"/>
      <c r="AU56" s="529"/>
      <c r="AV56" s="274"/>
      <c r="AX56" s="126"/>
      <c r="BA56" s="198"/>
      <c r="BB56" s="162"/>
      <c r="BC56" s="149"/>
      <c r="BD56" s="141"/>
      <c r="BE56" s="141"/>
      <c r="BF56" s="141"/>
      <c r="BG56" s="141"/>
      <c r="BH56" s="141"/>
    </row>
    <row r="57" spans="1:60" s="12" customFormat="1" ht="13.15">
      <c r="B57" s="946"/>
      <c r="E57" s="553"/>
      <c r="F57" s="512"/>
      <c r="G57" s="270"/>
      <c r="H57" s="270"/>
      <c r="I57" s="270"/>
      <c r="J57" s="270"/>
      <c r="K57" s="270"/>
      <c r="L57" s="270"/>
      <c r="M57" s="270"/>
      <c r="N57" s="270"/>
      <c r="O57" s="276"/>
      <c r="R57" s="277"/>
      <c r="S57" s="277"/>
      <c r="T57" s="278"/>
      <c r="U57" s="203"/>
      <c r="V57" s="277"/>
      <c r="W57" s="279"/>
      <c r="X57" s="279"/>
      <c r="Y57" s="279"/>
      <c r="Z57" s="460"/>
      <c r="AA57" s="279"/>
      <c r="AB57" s="279"/>
      <c r="AC57" s="279"/>
      <c r="AD57" s="279"/>
      <c r="AE57" s="279"/>
      <c r="AF57" s="303"/>
      <c r="AG57" s="280"/>
      <c r="AH57" s="317"/>
      <c r="AI57" s="279"/>
      <c r="AJ57" s="279"/>
      <c r="AK57" s="279"/>
      <c r="AL57" s="338"/>
      <c r="AM57" s="280"/>
      <c r="AN57" s="279"/>
      <c r="AO57" s="279"/>
      <c r="AP57" s="280"/>
      <c r="AQ57" s="303"/>
      <c r="AR57" s="280"/>
      <c r="AS57" s="281"/>
      <c r="AT57" s="203"/>
      <c r="AU57" s="524"/>
      <c r="AV57" s="281"/>
      <c r="AW57" s="281"/>
      <c r="AX57" s="126"/>
      <c r="BA57" s="198"/>
      <c r="BB57" s="162"/>
      <c r="BC57" s="149"/>
      <c r="BD57" s="141"/>
      <c r="BE57" s="141"/>
      <c r="BF57" s="141"/>
      <c r="BG57" s="141"/>
      <c r="BH57" s="141"/>
    </row>
    <row r="58" spans="1:60" s="12" customFormat="1" ht="13.15">
      <c r="B58" s="946"/>
      <c r="E58" s="553"/>
      <c r="F58" s="512"/>
      <c r="G58" s="270"/>
      <c r="H58" s="270"/>
      <c r="I58" s="270"/>
      <c r="J58" s="270"/>
      <c r="K58" s="270"/>
      <c r="L58" s="270"/>
      <c r="M58" s="270"/>
      <c r="N58" s="270"/>
      <c r="O58" s="276"/>
      <c r="P58" s="61"/>
      <c r="Q58" s="282"/>
      <c r="R58" s="277"/>
      <c r="S58" s="277"/>
      <c r="U58" s="203"/>
      <c r="V58" s="277"/>
      <c r="W58" s="279"/>
      <c r="X58" s="279"/>
      <c r="Y58" s="279"/>
      <c r="Z58" s="460"/>
      <c r="AA58" s="279"/>
      <c r="AB58" s="279"/>
      <c r="AC58" s="279"/>
      <c r="AD58" s="279"/>
      <c r="AE58" s="279"/>
      <c r="AF58" s="303"/>
      <c r="AG58" s="280"/>
      <c r="AH58" s="317"/>
      <c r="AI58" s="279"/>
      <c r="AJ58" s="279"/>
      <c r="AK58" s="279"/>
      <c r="AL58" s="338"/>
      <c r="AM58" s="280"/>
      <c r="AN58" s="279"/>
      <c r="AO58" s="279"/>
      <c r="AP58" s="280"/>
      <c r="AQ58" s="303"/>
      <c r="AR58" s="280"/>
      <c r="AS58" s="281"/>
      <c r="AT58" s="203"/>
      <c r="AU58" s="524"/>
      <c r="AV58" s="281"/>
      <c r="AW58" s="281"/>
      <c r="AX58" s="126"/>
      <c r="BA58" s="198"/>
      <c r="BB58" s="162"/>
      <c r="BC58" s="149"/>
      <c r="BD58" s="141"/>
      <c r="BE58" s="141"/>
      <c r="BF58" s="141"/>
      <c r="BG58" s="141"/>
      <c r="BH58" s="141"/>
    </row>
    <row r="59" spans="1:60" s="12" customFormat="1" ht="13.15">
      <c r="B59" s="946"/>
      <c r="E59" s="553"/>
      <c r="F59" s="512"/>
      <c r="G59" s="270"/>
      <c r="H59" s="270"/>
      <c r="I59" s="270"/>
      <c r="J59" s="270"/>
      <c r="K59" s="270"/>
      <c r="L59" s="270"/>
      <c r="M59" s="270"/>
      <c r="N59" s="270"/>
      <c r="O59" s="197"/>
      <c r="P59" s="199"/>
      <c r="R59" s="201"/>
      <c r="S59" s="201"/>
      <c r="T59" s="202"/>
      <c r="U59" s="203"/>
      <c r="V59" s="201"/>
      <c r="W59" s="204"/>
      <c r="X59" s="204"/>
      <c r="Y59" s="204"/>
      <c r="Z59" s="460"/>
      <c r="AA59" s="204"/>
      <c r="AB59" s="204"/>
      <c r="AC59" s="204"/>
      <c r="AD59" s="204"/>
      <c r="AE59" s="204"/>
      <c r="AF59" s="300"/>
      <c r="AG59" s="205"/>
      <c r="AH59" s="315"/>
      <c r="AI59" s="204"/>
      <c r="AJ59" s="204"/>
      <c r="AK59" s="204"/>
      <c r="AL59" s="336"/>
      <c r="AM59" s="205"/>
      <c r="AN59" s="204"/>
      <c r="AO59" s="204"/>
      <c r="AP59" s="205"/>
      <c r="AQ59" s="300"/>
      <c r="AR59" s="205"/>
      <c r="AS59" s="206"/>
      <c r="AT59" s="203"/>
      <c r="AU59" s="524"/>
      <c r="AV59" s="206"/>
      <c r="AW59" s="206"/>
      <c r="AX59" s="126"/>
      <c r="BA59" s="198"/>
      <c r="BB59" s="162"/>
      <c r="BC59" s="149"/>
      <c r="BD59" s="141"/>
      <c r="BE59" s="141"/>
      <c r="BF59" s="141"/>
      <c r="BG59" s="141"/>
      <c r="BH59" s="141"/>
    </row>
    <row r="60" spans="1:60" s="12" customFormat="1" ht="13.15">
      <c r="B60" s="946"/>
      <c r="E60" s="553"/>
      <c r="F60" s="512"/>
      <c r="G60" s="270"/>
      <c r="H60" s="270"/>
      <c r="I60" s="270"/>
      <c r="J60" s="270"/>
      <c r="K60" s="270"/>
      <c r="L60" s="270"/>
      <c r="M60" s="270"/>
      <c r="N60" s="270"/>
      <c r="O60" s="197"/>
      <c r="P60" s="199"/>
      <c r="Q60" s="200"/>
      <c r="R60" s="201"/>
      <c r="S60" s="201"/>
      <c r="T60" s="202"/>
      <c r="U60" s="203"/>
      <c r="V60" s="201"/>
      <c r="W60" s="204"/>
      <c r="X60" s="204"/>
      <c r="Y60" s="204"/>
      <c r="Z60" s="460"/>
      <c r="AA60" s="204"/>
      <c r="AB60" s="204"/>
      <c r="AC60" s="204"/>
      <c r="AD60" s="204"/>
      <c r="AE60" s="204"/>
      <c r="AF60" s="300"/>
      <c r="AG60" s="205"/>
      <c r="AH60" s="315"/>
      <c r="AI60" s="204"/>
      <c r="AJ60" s="204"/>
      <c r="AK60" s="204"/>
      <c r="AL60" s="336"/>
      <c r="AM60" s="205"/>
      <c r="AN60" s="204"/>
      <c r="AO60" s="204"/>
      <c r="AP60" s="205"/>
      <c r="AQ60" s="300"/>
      <c r="AR60" s="205"/>
      <c r="AS60" s="206"/>
      <c r="AT60" s="203"/>
      <c r="AU60" s="524"/>
      <c r="AV60" s="206"/>
      <c r="AW60" s="206"/>
      <c r="AX60" s="126"/>
      <c r="BA60" s="198"/>
      <c r="BB60" s="162"/>
      <c r="BC60" s="149"/>
      <c r="BD60" s="141"/>
      <c r="BE60" s="141"/>
      <c r="BF60" s="141"/>
      <c r="BG60" s="141"/>
      <c r="BH60" s="141"/>
    </row>
    <row r="61" spans="1:60" s="12" customFormat="1" ht="13.15">
      <c r="B61" s="946"/>
      <c r="E61" s="553"/>
      <c r="F61" s="512"/>
      <c r="G61" s="270"/>
      <c r="H61" s="270"/>
      <c r="I61" s="270"/>
      <c r="J61" s="270"/>
      <c r="K61" s="270"/>
      <c r="L61" s="270"/>
      <c r="M61" s="270"/>
      <c r="N61" s="270"/>
      <c r="O61" s="197"/>
      <c r="P61" s="199"/>
      <c r="Q61" s="200"/>
      <c r="R61" s="201"/>
      <c r="S61" s="201"/>
      <c r="T61" s="202"/>
      <c r="U61" s="203"/>
      <c r="V61" s="201"/>
      <c r="W61" s="204"/>
      <c r="X61" s="204"/>
      <c r="Y61" s="204"/>
      <c r="Z61" s="460"/>
      <c r="AA61" s="204"/>
      <c r="AB61" s="204"/>
      <c r="AC61" s="204"/>
      <c r="AD61" s="204"/>
      <c r="AE61" s="204"/>
      <c r="AF61" s="300"/>
      <c r="AG61" s="205"/>
      <c r="AH61" s="315"/>
      <c r="AI61" s="204"/>
      <c r="AJ61" s="204"/>
      <c r="AK61" s="204"/>
      <c r="AL61" s="336"/>
      <c r="AM61" s="205"/>
      <c r="AN61" s="204"/>
      <c r="AO61" s="204"/>
      <c r="AP61" s="205"/>
      <c r="AQ61" s="300"/>
      <c r="AR61" s="205"/>
      <c r="AS61" s="206"/>
      <c r="AT61" s="203"/>
      <c r="AU61" s="524"/>
      <c r="AV61" s="206"/>
      <c r="AW61" s="206"/>
      <c r="AX61" s="126"/>
      <c r="BA61" s="198"/>
      <c r="BB61" s="162"/>
      <c r="BC61" s="149"/>
      <c r="BD61" s="141"/>
      <c r="BE61" s="141"/>
      <c r="BF61" s="141"/>
      <c r="BG61" s="141"/>
      <c r="BH61" s="141"/>
    </row>
    <row r="62" spans="1:60" s="12" customFormat="1" ht="13.15">
      <c r="B62" s="946"/>
      <c r="E62" s="553"/>
      <c r="F62" s="512"/>
      <c r="G62" s="270"/>
      <c r="H62" s="270"/>
      <c r="I62" s="270"/>
      <c r="J62" s="270"/>
      <c r="K62" s="270"/>
      <c r="L62" s="270"/>
      <c r="M62" s="270"/>
      <c r="N62" s="270"/>
      <c r="O62" s="197"/>
      <c r="P62" s="199"/>
      <c r="Q62" s="200"/>
      <c r="R62" s="201"/>
      <c r="S62" s="201"/>
      <c r="T62" s="202"/>
      <c r="U62" s="203"/>
      <c r="V62" s="201"/>
      <c r="W62" s="204"/>
      <c r="X62" s="204"/>
      <c r="Y62" s="204"/>
      <c r="Z62" s="460"/>
      <c r="AA62" s="204"/>
      <c r="AB62" s="204"/>
      <c r="AC62" s="204"/>
      <c r="AD62" s="204"/>
      <c r="AE62" s="204"/>
      <c r="AF62" s="300"/>
      <c r="AG62" s="205"/>
      <c r="AH62" s="315"/>
      <c r="AI62" s="204"/>
      <c r="AJ62" s="204"/>
      <c r="AK62" s="204"/>
      <c r="AL62" s="336"/>
      <c r="AM62" s="205"/>
      <c r="AN62" s="204"/>
      <c r="AO62" s="204"/>
      <c r="AP62" s="205"/>
      <c r="AQ62" s="300"/>
      <c r="AR62" s="205"/>
      <c r="AS62" s="206"/>
      <c r="AT62" s="203"/>
      <c r="AU62" s="524"/>
      <c r="AV62" s="206"/>
      <c r="AW62" s="206"/>
      <c r="AX62" s="126"/>
      <c r="BA62" s="198"/>
      <c r="BB62" s="162"/>
      <c r="BC62" s="149"/>
      <c r="BD62" s="141"/>
      <c r="BE62" s="141"/>
      <c r="BF62" s="141"/>
      <c r="BG62" s="141"/>
      <c r="BH62" s="141"/>
    </row>
    <row r="63" spans="1:60" s="12" customFormat="1" ht="13.15">
      <c r="B63" s="946"/>
      <c r="E63" s="553"/>
      <c r="F63" s="512"/>
      <c r="G63" s="270"/>
      <c r="H63" s="270"/>
      <c r="I63" s="270"/>
      <c r="J63" s="270"/>
      <c r="K63" s="270"/>
      <c r="L63" s="270"/>
      <c r="M63" s="270"/>
      <c r="N63" s="270"/>
      <c r="O63" s="197"/>
      <c r="P63" s="199"/>
      <c r="Q63" s="200"/>
      <c r="R63" s="201"/>
      <c r="S63" s="201"/>
      <c r="T63" s="202"/>
      <c r="U63" s="203"/>
      <c r="V63" s="201"/>
      <c r="W63" s="204"/>
      <c r="X63" s="204"/>
      <c r="Y63" s="204"/>
      <c r="Z63" s="460"/>
      <c r="AA63" s="204"/>
      <c r="AB63" s="204"/>
      <c r="AC63" s="204"/>
      <c r="AD63" s="204"/>
      <c r="AE63" s="204"/>
      <c r="AF63" s="300"/>
      <c r="AG63" s="205"/>
      <c r="AH63" s="315"/>
      <c r="AI63" s="204"/>
      <c r="AJ63" s="204"/>
      <c r="AK63" s="204"/>
      <c r="AL63" s="336"/>
      <c r="AM63" s="205"/>
      <c r="AN63" s="204"/>
      <c r="AO63" s="204"/>
      <c r="AP63" s="205"/>
      <c r="AQ63" s="300"/>
      <c r="AR63" s="205"/>
      <c r="AS63" s="206"/>
      <c r="AT63" s="203"/>
      <c r="AU63" s="524"/>
      <c r="AV63" s="206"/>
      <c r="AW63" s="206"/>
      <c r="AX63" s="126"/>
      <c r="BA63" s="198"/>
      <c r="BB63" s="162"/>
      <c r="BC63" s="149"/>
      <c r="BD63" s="141"/>
      <c r="BE63" s="141"/>
      <c r="BF63" s="141"/>
      <c r="BG63" s="141"/>
      <c r="BH63" s="141"/>
    </row>
    <row r="64" spans="1:60" s="12" customFormat="1" ht="13.15">
      <c r="B64" s="946"/>
      <c r="E64" s="553"/>
      <c r="F64" s="512"/>
      <c r="G64" s="270"/>
      <c r="H64" s="270"/>
      <c r="I64" s="270"/>
      <c r="J64" s="270"/>
      <c r="K64" s="270"/>
      <c r="L64" s="270"/>
      <c r="M64" s="270"/>
      <c r="N64" s="270"/>
      <c r="O64" s="197"/>
      <c r="P64" s="199"/>
      <c r="Q64" s="200"/>
      <c r="R64" s="201"/>
      <c r="S64" s="201"/>
      <c r="T64" s="202"/>
      <c r="U64" s="203"/>
      <c r="V64" s="201"/>
      <c r="W64" s="204"/>
      <c r="X64" s="204"/>
      <c r="Y64" s="204"/>
      <c r="Z64" s="460"/>
      <c r="AA64" s="204"/>
      <c r="AB64" s="204"/>
      <c r="AC64" s="204"/>
      <c r="AD64" s="204"/>
      <c r="AE64" s="204"/>
      <c r="AF64" s="300"/>
      <c r="AG64" s="205"/>
      <c r="AH64" s="315"/>
      <c r="AI64" s="204"/>
      <c r="AJ64" s="204"/>
      <c r="AK64" s="204"/>
      <c r="AL64" s="336"/>
      <c r="AM64" s="205"/>
      <c r="AN64" s="204"/>
      <c r="AO64" s="204"/>
      <c r="AP64" s="205"/>
      <c r="AQ64" s="300"/>
      <c r="AR64" s="205"/>
      <c r="AS64" s="206"/>
      <c r="AT64" s="203"/>
      <c r="AU64" s="524"/>
      <c r="AV64" s="206"/>
      <c r="AW64" s="206"/>
      <c r="AX64" s="126"/>
      <c r="BA64" s="198"/>
      <c r="BB64" s="162"/>
      <c r="BC64" s="149"/>
      <c r="BD64" s="141"/>
      <c r="BE64" s="141"/>
      <c r="BF64" s="141"/>
      <c r="BG64" s="141"/>
      <c r="BH64" s="141"/>
    </row>
    <row r="65" spans="2:60" s="12" customFormat="1" ht="13.15">
      <c r="B65" s="946"/>
      <c r="E65" s="553"/>
      <c r="F65" s="512"/>
      <c r="G65" s="270"/>
      <c r="H65" s="270"/>
      <c r="I65" s="270"/>
      <c r="J65" s="270"/>
      <c r="K65" s="270"/>
      <c r="L65" s="270"/>
      <c r="M65" s="270"/>
      <c r="N65" s="270"/>
      <c r="O65" s="197"/>
      <c r="P65" s="199"/>
      <c r="Q65" s="200"/>
      <c r="R65" s="201"/>
      <c r="S65" s="201"/>
      <c r="T65" s="202"/>
      <c r="U65" s="203"/>
      <c r="V65" s="201"/>
      <c r="W65" s="204"/>
      <c r="X65" s="204"/>
      <c r="Y65" s="204"/>
      <c r="Z65" s="460"/>
      <c r="AA65" s="204"/>
      <c r="AB65" s="204"/>
      <c r="AC65" s="204"/>
      <c r="AD65" s="204"/>
      <c r="AE65" s="204"/>
      <c r="AF65" s="300"/>
      <c r="AG65" s="205"/>
      <c r="AH65" s="315"/>
      <c r="AI65" s="204"/>
      <c r="AJ65" s="204"/>
      <c r="AK65" s="204"/>
      <c r="AL65" s="336"/>
      <c r="AM65" s="205"/>
      <c r="AN65" s="204"/>
      <c r="AO65" s="204"/>
      <c r="AP65" s="205"/>
      <c r="AQ65" s="300"/>
      <c r="AR65" s="205"/>
      <c r="AS65" s="206"/>
      <c r="AT65" s="203"/>
      <c r="AU65" s="524"/>
      <c r="AV65" s="206"/>
      <c r="AW65" s="206"/>
      <c r="AX65" s="126"/>
      <c r="BA65" s="198"/>
      <c r="BB65" s="162"/>
      <c r="BC65" s="149"/>
      <c r="BD65" s="141"/>
      <c r="BE65" s="141"/>
      <c r="BF65" s="141"/>
      <c r="BG65" s="141"/>
      <c r="BH65" s="141"/>
    </row>
    <row r="66" spans="2:60" s="12" customFormat="1" ht="13.15">
      <c r="B66" s="946"/>
      <c r="E66" s="553"/>
      <c r="F66" s="512"/>
      <c r="G66" s="270"/>
      <c r="H66" s="270"/>
      <c r="I66" s="270"/>
      <c r="J66" s="270"/>
      <c r="K66" s="270"/>
      <c r="L66" s="270"/>
      <c r="M66" s="270"/>
      <c r="N66" s="270"/>
      <c r="O66" s="197"/>
      <c r="P66" s="199"/>
      <c r="Q66" s="200"/>
      <c r="R66" s="201"/>
      <c r="S66" s="201"/>
      <c r="T66" s="202"/>
      <c r="U66" s="203"/>
      <c r="V66" s="201"/>
      <c r="W66" s="204"/>
      <c r="X66" s="204"/>
      <c r="Y66" s="204"/>
      <c r="Z66" s="460"/>
      <c r="AA66" s="204"/>
      <c r="AB66" s="204"/>
      <c r="AC66" s="204"/>
      <c r="AD66" s="204"/>
      <c r="AE66" s="204"/>
      <c r="AF66" s="300"/>
      <c r="AG66" s="205"/>
      <c r="AH66" s="315"/>
      <c r="AI66" s="204"/>
      <c r="AJ66" s="204"/>
      <c r="AK66" s="204"/>
      <c r="AL66" s="336"/>
      <c r="AM66" s="205"/>
      <c r="AN66" s="204"/>
      <c r="AO66" s="204"/>
      <c r="AP66" s="205"/>
      <c r="AQ66" s="300"/>
      <c r="AR66" s="205"/>
      <c r="AS66" s="206"/>
      <c r="AT66" s="203"/>
      <c r="AU66" s="524"/>
      <c r="AV66" s="206"/>
      <c r="AW66" s="206"/>
      <c r="AX66" s="126"/>
      <c r="BA66" s="198"/>
      <c r="BB66" s="162"/>
      <c r="BC66" s="149"/>
      <c r="BD66" s="141"/>
      <c r="BE66" s="141"/>
      <c r="BF66" s="141"/>
      <c r="BG66" s="141"/>
      <c r="BH66" s="141"/>
    </row>
    <row r="67" spans="2:60" s="12" customFormat="1" ht="13.15">
      <c r="B67" s="946"/>
      <c r="E67" s="553"/>
      <c r="F67" s="512"/>
      <c r="G67" s="270"/>
      <c r="H67" s="270"/>
      <c r="I67" s="270"/>
      <c r="J67" s="270"/>
      <c r="K67" s="270"/>
      <c r="L67" s="270"/>
      <c r="M67" s="270"/>
      <c r="N67" s="270"/>
      <c r="O67" s="197"/>
      <c r="P67" s="199"/>
      <c r="Q67" s="200"/>
      <c r="R67" s="201"/>
      <c r="S67" s="201"/>
      <c r="T67" s="202"/>
      <c r="U67" s="203"/>
      <c r="V67" s="201"/>
      <c r="W67" s="204"/>
      <c r="X67" s="204"/>
      <c r="Y67" s="204"/>
      <c r="Z67" s="460"/>
      <c r="AA67" s="204"/>
      <c r="AB67" s="204"/>
      <c r="AC67" s="204"/>
      <c r="AD67" s="204"/>
      <c r="AE67" s="204"/>
      <c r="AF67" s="300"/>
      <c r="AG67" s="205"/>
      <c r="AH67" s="315"/>
      <c r="AI67" s="204"/>
      <c r="AJ67" s="204"/>
      <c r="AK67" s="204"/>
      <c r="AL67" s="336"/>
      <c r="AM67" s="205"/>
      <c r="AN67" s="204"/>
      <c r="AO67" s="204"/>
      <c r="AP67" s="205"/>
      <c r="AQ67" s="300"/>
      <c r="AR67" s="205"/>
      <c r="AS67" s="206"/>
      <c r="AT67" s="203"/>
      <c r="AU67" s="524"/>
      <c r="AV67" s="206"/>
      <c r="AW67" s="206"/>
      <c r="AX67" s="126"/>
      <c r="BA67" s="198"/>
      <c r="BB67" s="162"/>
      <c r="BC67" s="149"/>
      <c r="BD67" s="141"/>
      <c r="BE67" s="141"/>
      <c r="BF67" s="141"/>
      <c r="BG67" s="141"/>
      <c r="BH67" s="141"/>
    </row>
    <row r="68" spans="2:60" s="12" customFormat="1" ht="13.15">
      <c r="B68" s="946"/>
      <c r="E68" s="553"/>
      <c r="F68" s="512"/>
      <c r="G68" s="270"/>
      <c r="H68" s="270"/>
      <c r="I68" s="270"/>
      <c r="J68" s="270"/>
      <c r="K68" s="270"/>
      <c r="L68" s="270"/>
      <c r="M68" s="270"/>
      <c r="N68" s="270"/>
      <c r="O68" s="197"/>
      <c r="P68" s="199"/>
      <c r="Q68" s="200"/>
      <c r="R68" s="201"/>
      <c r="S68" s="201"/>
      <c r="T68" s="202"/>
      <c r="U68" s="203"/>
      <c r="V68" s="201"/>
      <c r="W68" s="204"/>
      <c r="X68" s="204"/>
      <c r="Y68" s="204"/>
      <c r="Z68" s="460"/>
      <c r="AA68" s="204"/>
      <c r="AB68" s="204"/>
      <c r="AC68" s="204"/>
      <c r="AD68" s="204"/>
      <c r="AE68" s="204"/>
      <c r="AF68" s="300"/>
      <c r="AG68" s="205"/>
      <c r="AH68" s="315"/>
      <c r="AI68" s="204"/>
      <c r="AJ68" s="204"/>
      <c r="AK68" s="204"/>
      <c r="AL68" s="336"/>
      <c r="AM68" s="205"/>
      <c r="AN68" s="204"/>
      <c r="AO68" s="204"/>
      <c r="AP68" s="205"/>
      <c r="AQ68" s="300"/>
      <c r="AR68" s="205"/>
      <c r="AS68" s="206"/>
      <c r="AT68" s="203"/>
      <c r="AU68" s="524"/>
      <c r="AV68" s="206"/>
      <c r="AW68" s="206"/>
      <c r="AX68" s="126"/>
      <c r="BA68" s="198"/>
      <c r="BB68" s="162"/>
      <c r="BC68" s="149"/>
      <c r="BD68" s="141"/>
      <c r="BE68" s="141"/>
      <c r="BF68" s="141"/>
      <c r="BG68" s="141"/>
      <c r="BH68" s="141"/>
    </row>
    <row r="69" spans="2:60" s="6" customFormat="1" ht="15">
      <c r="B69" s="952"/>
      <c r="E69" s="553"/>
      <c r="F69" s="513"/>
      <c r="G69" s="270"/>
      <c r="H69" s="270"/>
      <c r="I69" s="270"/>
      <c r="J69" s="270"/>
      <c r="K69" s="270"/>
      <c r="L69" s="270"/>
      <c r="M69" s="270"/>
      <c r="N69" s="270"/>
      <c r="O69" s="16"/>
      <c r="P69" s="17"/>
      <c r="Q69" s="158"/>
      <c r="R69" s="18"/>
      <c r="S69" s="18"/>
      <c r="T69" s="89"/>
      <c r="U69" s="108"/>
      <c r="V69" s="18"/>
      <c r="W69" s="10"/>
      <c r="X69" s="10"/>
      <c r="Y69" s="10"/>
      <c r="Z69" s="464"/>
      <c r="AA69" s="10"/>
      <c r="AB69" s="10"/>
      <c r="AC69" s="10"/>
      <c r="AD69" s="204"/>
      <c r="AE69" s="10"/>
      <c r="AF69" s="304"/>
      <c r="AG69" s="63"/>
      <c r="AH69" s="318"/>
      <c r="AI69" s="10"/>
      <c r="AJ69" s="10"/>
      <c r="AK69" s="10"/>
      <c r="AL69" s="339"/>
      <c r="AM69" s="63"/>
      <c r="AN69" s="10"/>
      <c r="AO69" s="10"/>
      <c r="AP69" s="63"/>
      <c r="AQ69" s="304"/>
      <c r="AR69" s="63"/>
      <c r="AS69" s="11"/>
      <c r="AT69" s="108"/>
      <c r="AU69" s="524"/>
      <c r="AV69" s="11"/>
      <c r="AW69" s="11"/>
      <c r="AX69" s="102"/>
      <c r="BA69" s="31"/>
      <c r="BB69" s="162"/>
      <c r="BC69" s="149"/>
      <c r="BD69" s="141"/>
      <c r="BE69" s="141"/>
      <c r="BF69" s="141"/>
      <c r="BG69" s="140"/>
      <c r="BH69" s="140"/>
    </row>
    <row r="70" spans="2:60" s="6" customFormat="1" ht="15">
      <c r="B70" s="952"/>
      <c r="E70" s="553"/>
      <c r="F70" s="513"/>
      <c r="G70" s="270"/>
      <c r="H70" s="270"/>
      <c r="I70" s="270"/>
      <c r="J70" s="270"/>
      <c r="K70" s="270"/>
      <c r="L70" s="270"/>
      <c r="M70" s="270"/>
      <c r="N70" s="270"/>
      <c r="O70" s="16"/>
      <c r="P70" s="17"/>
      <c r="Q70" s="158"/>
      <c r="R70" s="18"/>
      <c r="S70" s="18"/>
      <c r="T70" s="89"/>
      <c r="U70" s="108"/>
      <c r="V70" s="18"/>
      <c r="W70" s="10"/>
      <c r="X70" s="10"/>
      <c r="Y70" s="10"/>
      <c r="Z70" s="464"/>
      <c r="AA70" s="10"/>
      <c r="AB70" s="10"/>
      <c r="AC70" s="10"/>
      <c r="AD70" s="204"/>
      <c r="AE70" s="10"/>
      <c r="AF70" s="304"/>
      <c r="AG70" s="63"/>
      <c r="AH70" s="318"/>
      <c r="AI70" s="10"/>
      <c r="AJ70" s="10"/>
      <c r="AK70" s="10"/>
      <c r="AL70" s="339"/>
      <c r="AM70" s="63"/>
      <c r="AN70" s="10"/>
      <c r="AO70" s="10"/>
      <c r="AP70" s="63"/>
      <c r="AQ70" s="304"/>
      <c r="AR70" s="63"/>
      <c r="AS70" s="11"/>
      <c r="AT70" s="108"/>
      <c r="AU70" s="524"/>
      <c r="AV70" s="11"/>
      <c r="AW70" s="11"/>
      <c r="AX70" s="102"/>
      <c r="BA70" s="31"/>
      <c r="BB70" s="162"/>
      <c r="BC70" s="149"/>
      <c r="BD70" s="141"/>
      <c r="BE70" s="141"/>
      <c r="BF70" s="141"/>
      <c r="BG70" s="140"/>
      <c r="BH70" s="140"/>
    </row>
    <row r="71" spans="2:60" s="6" customFormat="1" ht="15">
      <c r="B71" s="952"/>
      <c r="E71" s="553"/>
      <c r="F71" s="513"/>
      <c r="G71" s="270"/>
      <c r="H71" s="270"/>
      <c r="I71" s="270"/>
      <c r="J71" s="270"/>
      <c r="K71" s="270"/>
      <c r="L71" s="270"/>
      <c r="M71" s="270"/>
      <c r="N71" s="270"/>
      <c r="O71" s="16"/>
      <c r="P71" s="17"/>
      <c r="Q71" s="158"/>
      <c r="R71" s="18"/>
      <c r="S71" s="18"/>
      <c r="T71" s="89"/>
      <c r="U71" s="108"/>
      <c r="V71" s="18"/>
      <c r="W71" s="10"/>
      <c r="X71" s="10"/>
      <c r="Y71" s="10"/>
      <c r="Z71" s="464"/>
      <c r="AA71" s="10"/>
      <c r="AB71" s="10"/>
      <c r="AC71" s="10"/>
      <c r="AD71" s="204"/>
      <c r="AE71" s="10"/>
      <c r="AF71" s="304"/>
      <c r="AG71" s="63"/>
      <c r="AH71" s="318"/>
      <c r="AI71" s="10"/>
      <c r="AJ71" s="10"/>
      <c r="AK71" s="10"/>
      <c r="AL71" s="339"/>
      <c r="AM71" s="63"/>
      <c r="AN71" s="10"/>
      <c r="AO71" s="10"/>
      <c r="AP71" s="63"/>
      <c r="AQ71" s="304"/>
      <c r="AR71" s="63"/>
      <c r="AS71" s="11"/>
      <c r="AT71" s="108"/>
      <c r="AU71" s="524"/>
      <c r="AV71" s="11"/>
      <c r="AW71" s="11"/>
      <c r="AX71" s="102"/>
      <c r="BA71" s="31"/>
      <c r="BB71" s="162"/>
      <c r="BC71" s="149"/>
      <c r="BD71" s="141"/>
      <c r="BE71" s="141"/>
      <c r="BF71" s="141"/>
      <c r="BG71" s="140"/>
      <c r="BH71" s="140"/>
    </row>
    <row r="72" spans="2:60" s="6" customFormat="1" ht="15">
      <c r="B72" s="952"/>
      <c r="E72" s="553"/>
      <c r="F72" s="513"/>
      <c r="G72" s="270"/>
      <c r="H72" s="270"/>
      <c r="I72" s="270"/>
      <c r="J72" s="270"/>
      <c r="K72" s="270"/>
      <c r="L72" s="270"/>
      <c r="M72" s="270"/>
      <c r="N72" s="270"/>
      <c r="O72" s="16"/>
      <c r="P72" s="17"/>
      <c r="Q72" s="158"/>
      <c r="R72" s="18"/>
      <c r="S72" s="18"/>
      <c r="T72" s="89"/>
      <c r="U72" s="108"/>
      <c r="V72" s="18"/>
      <c r="W72" s="10"/>
      <c r="X72" s="10"/>
      <c r="Y72" s="10"/>
      <c r="Z72" s="464"/>
      <c r="AA72" s="10"/>
      <c r="AB72" s="10"/>
      <c r="AC72" s="10"/>
      <c r="AD72" s="204"/>
      <c r="AE72" s="10"/>
      <c r="AF72" s="304"/>
      <c r="AG72" s="63"/>
      <c r="AH72" s="318"/>
      <c r="AI72" s="10"/>
      <c r="AJ72" s="10"/>
      <c r="AK72" s="10"/>
      <c r="AL72" s="339"/>
      <c r="AM72" s="63"/>
      <c r="AN72" s="10"/>
      <c r="AO72" s="10"/>
      <c r="AP72" s="63"/>
      <c r="AQ72" s="304"/>
      <c r="AR72" s="63"/>
      <c r="AS72" s="11"/>
      <c r="AT72" s="108"/>
      <c r="AU72" s="524"/>
      <c r="AV72" s="11"/>
      <c r="AW72" s="11"/>
      <c r="AX72" s="102"/>
      <c r="BA72" s="31"/>
      <c r="BB72" s="162"/>
      <c r="BC72" s="149"/>
      <c r="BD72" s="141"/>
      <c r="BE72" s="141"/>
      <c r="BF72" s="141"/>
      <c r="BG72" s="140"/>
      <c r="BH72" s="140"/>
    </row>
    <row r="73" spans="2:60" s="6" customFormat="1" ht="15">
      <c r="B73" s="952"/>
      <c r="E73" s="553"/>
      <c r="F73" s="513"/>
      <c r="G73" s="270"/>
      <c r="H73" s="270"/>
      <c r="I73" s="270"/>
      <c r="J73" s="270"/>
      <c r="K73" s="270"/>
      <c r="L73" s="270"/>
      <c r="M73" s="270"/>
      <c r="N73" s="270"/>
      <c r="O73" s="16"/>
      <c r="P73" s="17"/>
      <c r="Q73" s="158"/>
      <c r="R73" s="18"/>
      <c r="S73" s="18"/>
      <c r="T73" s="89"/>
      <c r="U73" s="108"/>
      <c r="V73" s="18"/>
      <c r="W73" s="10"/>
      <c r="X73" s="10"/>
      <c r="Y73" s="10"/>
      <c r="Z73" s="464"/>
      <c r="AA73" s="10"/>
      <c r="AB73" s="10"/>
      <c r="AC73" s="10"/>
      <c r="AD73" s="204"/>
      <c r="AE73" s="10"/>
      <c r="AF73" s="304"/>
      <c r="AG73" s="63"/>
      <c r="AH73" s="318"/>
      <c r="AI73" s="10"/>
      <c r="AJ73" s="10"/>
      <c r="AK73" s="10"/>
      <c r="AL73" s="339"/>
      <c r="AM73" s="63"/>
      <c r="AN73" s="10"/>
      <c r="AO73" s="10"/>
      <c r="AP73" s="63"/>
      <c r="AQ73" s="304"/>
      <c r="AR73" s="63"/>
      <c r="AS73" s="11"/>
      <c r="AT73" s="108"/>
      <c r="AU73" s="524"/>
      <c r="AV73" s="11"/>
      <c r="AW73" s="11"/>
      <c r="AX73" s="102"/>
      <c r="BA73" s="31"/>
      <c r="BB73" s="162"/>
      <c r="BC73" s="149"/>
      <c r="BD73" s="141"/>
      <c r="BE73" s="141"/>
      <c r="BF73" s="141"/>
      <c r="BG73" s="140"/>
      <c r="BH73" s="140"/>
    </row>
    <row r="74" spans="2:60" s="6" customFormat="1" ht="15">
      <c r="B74" s="952"/>
      <c r="E74" s="553"/>
      <c r="F74" s="513"/>
      <c r="G74" s="270"/>
      <c r="H74" s="270"/>
      <c r="I74" s="270"/>
      <c r="J74" s="270"/>
      <c r="K74" s="270"/>
      <c r="L74" s="270"/>
      <c r="M74" s="270"/>
      <c r="N74" s="270"/>
      <c r="O74" s="16"/>
      <c r="P74" s="17"/>
      <c r="Q74" s="158"/>
      <c r="R74" s="18"/>
      <c r="S74" s="18"/>
      <c r="T74" s="89"/>
      <c r="U74" s="108"/>
      <c r="V74" s="18"/>
      <c r="W74" s="10"/>
      <c r="X74" s="10"/>
      <c r="Y74" s="10"/>
      <c r="Z74" s="464"/>
      <c r="AA74" s="10"/>
      <c r="AB74" s="10"/>
      <c r="AC74" s="10"/>
      <c r="AD74" s="204"/>
      <c r="AE74" s="10"/>
      <c r="AF74" s="304"/>
      <c r="AG74" s="63"/>
      <c r="AH74" s="318"/>
      <c r="AI74" s="10"/>
      <c r="AJ74" s="10"/>
      <c r="AK74" s="10"/>
      <c r="AL74" s="339"/>
      <c r="AM74" s="63"/>
      <c r="AN74" s="10"/>
      <c r="AO74" s="10"/>
      <c r="AP74" s="63"/>
      <c r="AQ74" s="304"/>
      <c r="AR74" s="63"/>
      <c r="AS74" s="11"/>
      <c r="AT74" s="108"/>
      <c r="AU74" s="524"/>
      <c r="AV74" s="11"/>
      <c r="AW74" s="11"/>
      <c r="AX74" s="102"/>
      <c r="BA74" s="31"/>
      <c r="BB74" s="162"/>
      <c r="BC74" s="149"/>
      <c r="BD74" s="141"/>
      <c r="BE74" s="141"/>
      <c r="BF74" s="141"/>
      <c r="BG74" s="140"/>
      <c r="BH74" s="140"/>
    </row>
    <row r="75" spans="2:60" s="6" customFormat="1" ht="15">
      <c r="B75" s="952"/>
      <c r="E75" s="553"/>
      <c r="F75" s="513"/>
      <c r="G75" s="270"/>
      <c r="H75" s="270"/>
      <c r="I75" s="270"/>
      <c r="J75" s="270"/>
      <c r="K75" s="270"/>
      <c r="L75" s="270"/>
      <c r="M75" s="270"/>
      <c r="N75" s="270"/>
      <c r="O75" s="16"/>
      <c r="P75" s="17"/>
      <c r="Q75" s="158"/>
      <c r="R75" s="18"/>
      <c r="S75" s="18"/>
      <c r="T75" s="89"/>
      <c r="U75" s="108"/>
      <c r="V75" s="18"/>
      <c r="W75" s="10"/>
      <c r="X75" s="10"/>
      <c r="Y75" s="10"/>
      <c r="Z75" s="464"/>
      <c r="AA75" s="10"/>
      <c r="AB75" s="10"/>
      <c r="AC75" s="10"/>
      <c r="AD75" s="204"/>
      <c r="AE75" s="10"/>
      <c r="AF75" s="304"/>
      <c r="AG75" s="63"/>
      <c r="AH75" s="318"/>
      <c r="AI75" s="10"/>
      <c r="AJ75" s="10"/>
      <c r="AK75" s="10"/>
      <c r="AL75" s="339"/>
      <c r="AM75" s="63"/>
      <c r="AN75" s="10"/>
      <c r="AO75" s="10"/>
      <c r="AP75" s="63"/>
      <c r="AQ75" s="304"/>
      <c r="AR75" s="63"/>
      <c r="AS75" s="11"/>
      <c r="AT75" s="108"/>
      <c r="AU75" s="524"/>
      <c r="AV75" s="11"/>
      <c r="AW75" s="11"/>
      <c r="AX75" s="102"/>
      <c r="BA75" s="31"/>
      <c r="BB75" s="162"/>
      <c r="BC75" s="149"/>
      <c r="BD75" s="141"/>
      <c r="BE75" s="141"/>
      <c r="BF75" s="141"/>
      <c r="BG75" s="140"/>
      <c r="BH75" s="140"/>
    </row>
    <row r="76" spans="2:60" s="6" customFormat="1" ht="15">
      <c r="B76" s="952"/>
      <c r="E76" s="553"/>
      <c r="F76" s="513"/>
      <c r="G76" s="270"/>
      <c r="H76" s="270"/>
      <c r="I76" s="270"/>
      <c r="J76" s="270"/>
      <c r="K76" s="270"/>
      <c r="L76" s="270"/>
      <c r="M76" s="270"/>
      <c r="N76" s="270"/>
      <c r="O76" s="16"/>
      <c r="P76" s="17"/>
      <c r="Q76" s="158"/>
      <c r="R76" s="18"/>
      <c r="S76" s="18"/>
      <c r="T76" s="89"/>
      <c r="U76" s="108"/>
      <c r="V76" s="18"/>
      <c r="W76" s="10"/>
      <c r="X76" s="10"/>
      <c r="Y76" s="10"/>
      <c r="Z76" s="464"/>
      <c r="AA76" s="10"/>
      <c r="AB76" s="10"/>
      <c r="AC76" s="10"/>
      <c r="AD76" s="204"/>
      <c r="AE76" s="10"/>
      <c r="AF76" s="304"/>
      <c r="AG76" s="63"/>
      <c r="AH76" s="318"/>
      <c r="AI76" s="10"/>
      <c r="AJ76" s="10"/>
      <c r="AK76" s="10"/>
      <c r="AL76" s="339"/>
      <c r="AM76" s="63"/>
      <c r="AN76" s="10"/>
      <c r="AO76" s="10"/>
      <c r="AP76" s="63"/>
      <c r="AQ76" s="304"/>
      <c r="AR76" s="63"/>
      <c r="AS76" s="11"/>
      <c r="AT76" s="108"/>
      <c r="AU76" s="524"/>
      <c r="AV76" s="11"/>
      <c r="AW76" s="11"/>
      <c r="AX76" s="102"/>
      <c r="BA76" s="31"/>
      <c r="BB76" s="162"/>
      <c r="BC76" s="149"/>
      <c r="BD76" s="141"/>
      <c r="BE76" s="141"/>
      <c r="BF76" s="141"/>
      <c r="BG76" s="140"/>
      <c r="BH76" s="140"/>
    </row>
    <row r="77" spans="2:60" s="6" customFormat="1" ht="15">
      <c r="B77" s="952"/>
      <c r="E77" s="553"/>
      <c r="F77" s="513"/>
      <c r="G77" s="270"/>
      <c r="H77" s="270"/>
      <c r="I77" s="270"/>
      <c r="J77" s="270"/>
      <c r="K77" s="270"/>
      <c r="L77" s="270"/>
      <c r="M77" s="270"/>
      <c r="N77" s="270"/>
      <c r="O77" s="16"/>
      <c r="P77" s="17"/>
      <c r="Q77" s="158"/>
      <c r="R77" s="18"/>
      <c r="S77" s="18"/>
      <c r="T77" s="89"/>
      <c r="U77" s="108"/>
      <c r="V77" s="18"/>
      <c r="W77" s="10"/>
      <c r="X77" s="10"/>
      <c r="Y77" s="10"/>
      <c r="Z77" s="464"/>
      <c r="AA77" s="10"/>
      <c r="AB77" s="10"/>
      <c r="AC77" s="10"/>
      <c r="AD77" s="204"/>
      <c r="AE77" s="10"/>
      <c r="AF77" s="304"/>
      <c r="AG77" s="63"/>
      <c r="AH77" s="318"/>
      <c r="AI77" s="10"/>
      <c r="AJ77" s="10"/>
      <c r="AK77" s="10"/>
      <c r="AL77" s="339"/>
      <c r="AM77" s="63"/>
      <c r="AN77" s="10"/>
      <c r="AO77" s="10"/>
      <c r="AP77" s="63"/>
      <c r="AQ77" s="304"/>
      <c r="AR77" s="63"/>
      <c r="AS77" s="11"/>
      <c r="AT77" s="108"/>
      <c r="AU77" s="524"/>
      <c r="AV77" s="11"/>
      <c r="AW77" s="11"/>
      <c r="AX77" s="102"/>
      <c r="BA77" s="31"/>
      <c r="BB77" s="162"/>
      <c r="BC77" s="149"/>
      <c r="BD77" s="141"/>
      <c r="BE77" s="141"/>
      <c r="BF77" s="141"/>
      <c r="BG77" s="140"/>
      <c r="BH77" s="140"/>
    </row>
    <row r="78" spans="2:60" s="6" customFormat="1" ht="15">
      <c r="B78" s="952"/>
      <c r="E78" s="553"/>
      <c r="F78" s="513"/>
      <c r="G78" s="270"/>
      <c r="H78" s="270"/>
      <c r="I78" s="270"/>
      <c r="J78" s="270"/>
      <c r="K78" s="270"/>
      <c r="L78" s="270"/>
      <c r="M78" s="270"/>
      <c r="N78" s="270"/>
      <c r="O78" s="16"/>
      <c r="P78" s="17"/>
      <c r="Q78" s="158"/>
      <c r="R78" s="18"/>
      <c r="S78" s="18"/>
      <c r="T78" s="89"/>
      <c r="U78" s="108"/>
      <c r="V78" s="18"/>
      <c r="W78" s="10"/>
      <c r="X78" s="10"/>
      <c r="Y78" s="10"/>
      <c r="Z78" s="464"/>
      <c r="AA78" s="10"/>
      <c r="AB78" s="10"/>
      <c r="AC78" s="10"/>
      <c r="AD78" s="204"/>
      <c r="AE78" s="10"/>
      <c r="AF78" s="304"/>
      <c r="AG78" s="63"/>
      <c r="AH78" s="318"/>
      <c r="AI78" s="10"/>
      <c r="AJ78" s="10"/>
      <c r="AK78" s="10"/>
      <c r="AL78" s="339"/>
      <c r="AM78" s="63"/>
      <c r="AN78" s="10"/>
      <c r="AO78" s="10"/>
      <c r="AP78" s="63"/>
      <c r="AQ78" s="304"/>
      <c r="AR78" s="63"/>
      <c r="AS78" s="11"/>
      <c r="AT78" s="108"/>
      <c r="AU78" s="524"/>
      <c r="AV78" s="11"/>
      <c r="AW78" s="11"/>
      <c r="AX78" s="102"/>
      <c r="BA78" s="31"/>
      <c r="BB78" s="162"/>
      <c r="BC78" s="149"/>
      <c r="BD78" s="141"/>
      <c r="BE78" s="141"/>
      <c r="BF78" s="141"/>
      <c r="BG78" s="140"/>
      <c r="BH78" s="140"/>
    </row>
    <row r="79" spans="2:60" s="6" customFormat="1" ht="15">
      <c r="B79" s="952"/>
      <c r="E79" s="553"/>
      <c r="F79" s="513"/>
      <c r="G79" s="270"/>
      <c r="H79" s="270"/>
      <c r="I79" s="270"/>
      <c r="J79" s="270"/>
      <c r="K79" s="270"/>
      <c r="L79" s="270"/>
      <c r="M79" s="270"/>
      <c r="N79" s="270"/>
      <c r="O79" s="16"/>
      <c r="P79" s="17"/>
      <c r="Q79" s="158"/>
      <c r="R79" s="18"/>
      <c r="S79" s="18"/>
      <c r="T79" s="89"/>
      <c r="U79" s="108"/>
      <c r="V79" s="18"/>
      <c r="W79" s="10"/>
      <c r="X79" s="10"/>
      <c r="Y79" s="10"/>
      <c r="Z79" s="464"/>
      <c r="AA79" s="10"/>
      <c r="AB79" s="10"/>
      <c r="AC79" s="10"/>
      <c r="AD79" s="204"/>
      <c r="AE79" s="10"/>
      <c r="AF79" s="304"/>
      <c r="AG79" s="63"/>
      <c r="AH79" s="318"/>
      <c r="AI79" s="10"/>
      <c r="AJ79" s="10"/>
      <c r="AK79" s="10"/>
      <c r="AL79" s="339"/>
      <c r="AM79" s="63"/>
      <c r="AN79" s="10"/>
      <c r="AO79" s="10"/>
      <c r="AP79" s="63"/>
      <c r="AQ79" s="304"/>
      <c r="AR79" s="63"/>
      <c r="AS79" s="11"/>
      <c r="AT79" s="108"/>
      <c r="AU79" s="524"/>
      <c r="AV79" s="11"/>
      <c r="AW79" s="11"/>
      <c r="AX79" s="102"/>
      <c r="BA79" s="31"/>
      <c r="BB79" s="162"/>
      <c r="BC79" s="149"/>
      <c r="BD79" s="141"/>
      <c r="BE79" s="141"/>
      <c r="BF79" s="141"/>
      <c r="BG79" s="140"/>
      <c r="BH79" s="140"/>
    </row>
    <row r="80" spans="2:60" s="6" customFormat="1" ht="15">
      <c r="B80" s="952"/>
      <c r="E80" s="553"/>
      <c r="F80" s="513"/>
      <c r="G80" s="270"/>
      <c r="H80" s="270"/>
      <c r="I80" s="270"/>
      <c r="J80" s="270"/>
      <c r="K80" s="270"/>
      <c r="L80" s="270"/>
      <c r="M80" s="270"/>
      <c r="N80" s="270"/>
      <c r="O80" s="16"/>
      <c r="P80" s="17"/>
      <c r="Q80" s="158"/>
      <c r="R80" s="18"/>
      <c r="S80" s="18"/>
      <c r="T80" s="89"/>
      <c r="U80" s="108"/>
      <c r="V80" s="18"/>
      <c r="W80" s="10"/>
      <c r="X80" s="10"/>
      <c r="Y80" s="10"/>
      <c r="Z80" s="464"/>
      <c r="AA80" s="10"/>
      <c r="AB80" s="10"/>
      <c r="AC80" s="10"/>
      <c r="AD80" s="204"/>
      <c r="AE80" s="10"/>
      <c r="AF80" s="304"/>
      <c r="AG80" s="63"/>
      <c r="AH80" s="318"/>
      <c r="AI80" s="10"/>
      <c r="AJ80" s="10"/>
      <c r="AK80" s="10"/>
      <c r="AL80" s="339"/>
      <c r="AM80" s="63"/>
      <c r="AN80" s="10"/>
      <c r="AO80" s="10"/>
      <c r="AP80" s="63"/>
      <c r="AQ80" s="304"/>
      <c r="AR80" s="63"/>
      <c r="AS80" s="11"/>
      <c r="AT80" s="108"/>
      <c r="AU80" s="524"/>
      <c r="AV80" s="11"/>
      <c r="AW80" s="11"/>
      <c r="AX80" s="102"/>
      <c r="BA80" s="31"/>
      <c r="BB80" s="162"/>
      <c r="BC80" s="149"/>
      <c r="BD80" s="141"/>
      <c r="BE80" s="141"/>
      <c r="BF80" s="141"/>
      <c r="BG80" s="140"/>
      <c r="BH80" s="140"/>
    </row>
    <row r="81" spans="2:60" s="6" customFormat="1" ht="15">
      <c r="B81" s="952"/>
      <c r="E81" s="553"/>
      <c r="F81" s="513"/>
      <c r="G81" s="270"/>
      <c r="H81" s="270"/>
      <c r="I81" s="270"/>
      <c r="J81" s="270"/>
      <c r="K81" s="270"/>
      <c r="L81" s="270"/>
      <c r="M81" s="270"/>
      <c r="N81" s="270"/>
      <c r="O81" s="16"/>
      <c r="P81" s="17"/>
      <c r="Q81" s="158"/>
      <c r="R81" s="18"/>
      <c r="S81" s="18"/>
      <c r="T81" s="89"/>
      <c r="U81" s="108"/>
      <c r="V81" s="18"/>
      <c r="W81" s="10"/>
      <c r="X81" s="10"/>
      <c r="Y81" s="10"/>
      <c r="Z81" s="464"/>
      <c r="AA81" s="10"/>
      <c r="AB81" s="10"/>
      <c r="AC81" s="10"/>
      <c r="AD81" s="204"/>
      <c r="AE81" s="10"/>
      <c r="AF81" s="304"/>
      <c r="AG81" s="63"/>
      <c r="AH81" s="318"/>
      <c r="AI81" s="10"/>
      <c r="AJ81" s="10"/>
      <c r="AK81" s="10"/>
      <c r="AL81" s="339"/>
      <c r="AM81" s="63"/>
      <c r="AN81" s="10"/>
      <c r="AO81" s="10"/>
      <c r="AP81" s="63"/>
      <c r="AQ81" s="304"/>
      <c r="AR81" s="63"/>
      <c r="AS81" s="11"/>
      <c r="AT81" s="108"/>
      <c r="AU81" s="524"/>
      <c r="AV81" s="11"/>
      <c r="AW81" s="11"/>
      <c r="AX81" s="102"/>
      <c r="BA81" s="31"/>
      <c r="BB81" s="162"/>
      <c r="BC81" s="149"/>
      <c r="BD81" s="141"/>
      <c r="BE81" s="141"/>
      <c r="BF81" s="141"/>
      <c r="BG81" s="140"/>
      <c r="BH81" s="140"/>
    </row>
    <row r="82" spans="2:60" s="6" customFormat="1" ht="15">
      <c r="B82" s="952"/>
      <c r="E82" s="553"/>
      <c r="F82" s="513"/>
      <c r="G82" s="270"/>
      <c r="H82" s="270"/>
      <c r="I82" s="270"/>
      <c r="J82" s="270"/>
      <c r="K82" s="270"/>
      <c r="L82" s="270"/>
      <c r="M82" s="270"/>
      <c r="N82" s="270"/>
      <c r="O82" s="16"/>
      <c r="P82" s="17"/>
      <c r="Q82" s="158"/>
      <c r="R82" s="18"/>
      <c r="S82" s="18"/>
      <c r="T82" s="89"/>
      <c r="U82" s="108"/>
      <c r="V82" s="18"/>
      <c r="W82" s="10"/>
      <c r="X82" s="10"/>
      <c r="Y82" s="10"/>
      <c r="Z82" s="464"/>
      <c r="AA82" s="10"/>
      <c r="AB82" s="10"/>
      <c r="AC82" s="10"/>
      <c r="AD82" s="204"/>
      <c r="AE82" s="10"/>
      <c r="AF82" s="304"/>
      <c r="AG82" s="63"/>
      <c r="AH82" s="318"/>
      <c r="AI82" s="10"/>
      <c r="AJ82" s="10"/>
      <c r="AK82" s="10"/>
      <c r="AL82" s="339"/>
      <c r="AM82" s="63"/>
      <c r="AN82" s="10"/>
      <c r="AO82" s="10"/>
      <c r="AP82" s="63"/>
      <c r="AQ82" s="304"/>
      <c r="AR82" s="63"/>
      <c r="AS82" s="11"/>
      <c r="AT82" s="108"/>
      <c r="AU82" s="524"/>
      <c r="AV82" s="11"/>
      <c r="AW82" s="11"/>
      <c r="AX82" s="102"/>
      <c r="BA82" s="31"/>
      <c r="BB82" s="162"/>
      <c r="BC82" s="149"/>
      <c r="BD82" s="141"/>
      <c r="BE82" s="141"/>
      <c r="BF82" s="141"/>
      <c r="BG82" s="140"/>
      <c r="BH82" s="140"/>
    </row>
    <row r="83" spans="2:60" s="6" customFormat="1" ht="15">
      <c r="B83" s="952"/>
      <c r="E83" s="553"/>
      <c r="F83" s="513"/>
      <c r="G83" s="270"/>
      <c r="H83" s="270"/>
      <c r="I83" s="270"/>
      <c r="J83" s="270"/>
      <c r="K83" s="270"/>
      <c r="L83" s="270"/>
      <c r="M83" s="270"/>
      <c r="N83" s="270"/>
      <c r="O83" s="16"/>
      <c r="P83" s="17"/>
      <c r="Q83" s="158"/>
      <c r="R83" s="18"/>
      <c r="S83" s="18"/>
      <c r="T83" s="89"/>
      <c r="U83" s="108"/>
      <c r="V83" s="18"/>
      <c r="W83" s="10"/>
      <c r="X83" s="10"/>
      <c r="Y83" s="10"/>
      <c r="Z83" s="464"/>
      <c r="AA83" s="10"/>
      <c r="AB83" s="10"/>
      <c r="AC83" s="10"/>
      <c r="AD83" s="204"/>
      <c r="AE83" s="10"/>
      <c r="AF83" s="304"/>
      <c r="AG83" s="63"/>
      <c r="AH83" s="318"/>
      <c r="AI83" s="10"/>
      <c r="AJ83" s="10"/>
      <c r="AK83" s="10"/>
      <c r="AL83" s="339"/>
      <c r="AM83" s="63"/>
      <c r="AN83" s="10"/>
      <c r="AO83" s="10"/>
      <c r="AP83" s="63"/>
      <c r="AQ83" s="304"/>
      <c r="AR83" s="63"/>
      <c r="AS83" s="11"/>
      <c r="AT83" s="108"/>
      <c r="AU83" s="524"/>
      <c r="AV83" s="11"/>
      <c r="AW83" s="11"/>
      <c r="AX83" s="102"/>
      <c r="BA83" s="31"/>
      <c r="BB83" s="162"/>
      <c r="BC83" s="149"/>
      <c r="BD83" s="141"/>
      <c r="BE83" s="141"/>
      <c r="BF83" s="141"/>
      <c r="BG83" s="140"/>
      <c r="BH83" s="140"/>
    </row>
    <row r="84" spans="2:60" s="6" customFormat="1" ht="15">
      <c r="B84" s="952"/>
      <c r="E84" s="553"/>
      <c r="F84" s="513"/>
      <c r="G84" s="270"/>
      <c r="H84" s="270"/>
      <c r="I84" s="270"/>
      <c r="J84" s="270"/>
      <c r="K84" s="270"/>
      <c r="L84" s="270"/>
      <c r="M84" s="270"/>
      <c r="N84" s="270"/>
      <c r="O84" s="16"/>
      <c r="P84" s="17"/>
      <c r="Q84" s="158"/>
      <c r="R84" s="18"/>
      <c r="S84" s="18"/>
      <c r="T84" s="89"/>
      <c r="U84" s="108"/>
      <c r="V84" s="18"/>
      <c r="W84" s="10"/>
      <c r="X84" s="10"/>
      <c r="Y84" s="10"/>
      <c r="Z84" s="464"/>
      <c r="AA84" s="10"/>
      <c r="AB84" s="10"/>
      <c r="AC84" s="10"/>
      <c r="AD84" s="204"/>
      <c r="AE84" s="10"/>
      <c r="AF84" s="304"/>
      <c r="AG84" s="63"/>
      <c r="AH84" s="318"/>
      <c r="AI84" s="10"/>
      <c r="AJ84" s="10"/>
      <c r="AK84" s="10"/>
      <c r="AL84" s="339"/>
      <c r="AM84" s="63"/>
      <c r="AN84" s="10"/>
      <c r="AO84" s="10"/>
      <c r="AP84" s="63"/>
      <c r="AQ84" s="304"/>
      <c r="AR84" s="63"/>
      <c r="AS84" s="11"/>
      <c r="AT84" s="108"/>
      <c r="AU84" s="524"/>
      <c r="AV84" s="11"/>
      <c r="AW84" s="11"/>
      <c r="AX84" s="102"/>
      <c r="BA84" s="31"/>
      <c r="BB84" s="162"/>
      <c r="BC84" s="149"/>
      <c r="BD84" s="141"/>
      <c r="BE84" s="141"/>
      <c r="BF84" s="141"/>
      <c r="BG84" s="140"/>
      <c r="BH84" s="140"/>
    </row>
    <row r="85" spans="2:60" s="6" customFormat="1" ht="15">
      <c r="B85" s="952"/>
      <c r="E85" s="553"/>
      <c r="F85" s="513"/>
      <c r="G85" s="270"/>
      <c r="H85" s="270"/>
      <c r="I85" s="270"/>
      <c r="J85" s="270"/>
      <c r="K85" s="270"/>
      <c r="L85" s="270"/>
      <c r="M85" s="270"/>
      <c r="N85" s="270"/>
      <c r="O85" s="16"/>
      <c r="P85" s="17"/>
      <c r="Q85" s="158"/>
      <c r="R85" s="18"/>
      <c r="S85" s="18"/>
      <c r="T85" s="89"/>
      <c r="U85" s="108"/>
      <c r="V85" s="18"/>
      <c r="W85" s="10"/>
      <c r="X85" s="10"/>
      <c r="Y85" s="10"/>
      <c r="Z85" s="464"/>
      <c r="AA85" s="10"/>
      <c r="AB85" s="10"/>
      <c r="AC85" s="10"/>
      <c r="AD85" s="204"/>
      <c r="AE85" s="10"/>
      <c r="AF85" s="304"/>
      <c r="AG85" s="63"/>
      <c r="AH85" s="318"/>
      <c r="AI85" s="10"/>
      <c r="AJ85" s="10"/>
      <c r="AK85" s="10"/>
      <c r="AL85" s="339"/>
      <c r="AM85" s="63"/>
      <c r="AN85" s="10"/>
      <c r="AO85" s="10"/>
      <c r="AP85" s="63"/>
      <c r="AQ85" s="304"/>
      <c r="AR85" s="63"/>
      <c r="AS85" s="11"/>
      <c r="AT85" s="108"/>
      <c r="AU85" s="524"/>
      <c r="AV85" s="11"/>
      <c r="AW85" s="11"/>
      <c r="AX85" s="102"/>
      <c r="BA85" s="31"/>
      <c r="BB85" s="162"/>
      <c r="BC85" s="149"/>
      <c r="BD85" s="141"/>
      <c r="BE85" s="141"/>
      <c r="BF85" s="141"/>
      <c r="BG85" s="140"/>
      <c r="BH85" s="140"/>
    </row>
    <row r="86" spans="2:60" s="6" customFormat="1" ht="15">
      <c r="B86" s="952"/>
      <c r="E86" s="553"/>
      <c r="F86" s="513"/>
      <c r="G86" s="270"/>
      <c r="H86" s="270"/>
      <c r="I86" s="270"/>
      <c r="J86" s="270"/>
      <c r="K86" s="270"/>
      <c r="L86" s="270"/>
      <c r="M86" s="270"/>
      <c r="N86" s="270"/>
      <c r="O86" s="16"/>
      <c r="P86" s="17"/>
      <c r="Q86" s="158"/>
      <c r="R86" s="18"/>
      <c r="S86" s="18"/>
      <c r="T86" s="89"/>
      <c r="U86" s="108"/>
      <c r="V86" s="18"/>
      <c r="W86" s="10"/>
      <c r="X86" s="10"/>
      <c r="Y86" s="10"/>
      <c r="Z86" s="464"/>
      <c r="AA86" s="10"/>
      <c r="AB86" s="10"/>
      <c r="AC86" s="10"/>
      <c r="AD86" s="204"/>
      <c r="AE86" s="10"/>
      <c r="AF86" s="304"/>
      <c r="AG86" s="63"/>
      <c r="AH86" s="318"/>
      <c r="AI86" s="10"/>
      <c r="AJ86" s="10"/>
      <c r="AK86" s="10"/>
      <c r="AL86" s="339"/>
      <c r="AM86" s="63"/>
      <c r="AN86" s="10"/>
      <c r="AO86" s="10"/>
      <c r="AP86" s="63"/>
      <c r="AQ86" s="304"/>
      <c r="AR86" s="63"/>
      <c r="AS86" s="11"/>
      <c r="AT86" s="108"/>
      <c r="AU86" s="524"/>
      <c r="AV86" s="11"/>
      <c r="AW86" s="11"/>
      <c r="AX86" s="102"/>
      <c r="BA86" s="31"/>
      <c r="BB86" s="162"/>
      <c r="BC86" s="149"/>
      <c r="BD86" s="141"/>
      <c r="BE86" s="141"/>
      <c r="BF86" s="141"/>
      <c r="BG86" s="140"/>
      <c r="BH86" s="140"/>
    </row>
    <row r="87" spans="2:60" s="6" customFormat="1" ht="15">
      <c r="B87" s="952"/>
      <c r="E87" s="553"/>
      <c r="F87" s="513"/>
      <c r="G87" s="270"/>
      <c r="H87" s="270"/>
      <c r="I87" s="270"/>
      <c r="J87" s="270"/>
      <c r="K87" s="270"/>
      <c r="L87" s="270"/>
      <c r="M87" s="270"/>
      <c r="N87" s="270"/>
      <c r="O87" s="16"/>
      <c r="P87" s="17"/>
      <c r="Q87" s="158"/>
      <c r="R87" s="18"/>
      <c r="S87" s="18"/>
      <c r="T87" s="89"/>
      <c r="U87" s="108"/>
      <c r="V87" s="18"/>
      <c r="W87" s="10"/>
      <c r="X87" s="10"/>
      <c r="Y87" s="10"/>
      <c r="Z87" s="464"/>
      <c r="AA87" s="10"/>
      <c r="AB87" s="10"/>
      <c r="AC87" s="10"/>
      <c r="AD87" s="204"/>
      <c r="AE87" s="10"/>
      <c r="AF87" s="304"/>
      <c r="AG87" s="63"/>
      <c r="AH87" s="318"/>
      <c r="AI87" s="10"/>
      <c r="AJ87" s="10"/>
      <c r="AK87" s="10"/>
      <c r="AL87" s="339"/>
      <c r="AM87" s="63"/>
      <c r="AN87" s="10"/>
      <c r="AO87" s="10"/>
      <c r="AP87" s="63"/>
      <c r="AQ87" s="304"/>
      <c r="AR87" s="63"/>
      <c r="AS87" s="11"/>
      <c r="AT87" s="108"/>
      <c r="AU87" s="524"/>
      <c r="AV87" s="11"/>
      <c r="AW87" s="11"/>
      <c r="AX87" s="102"/>
      <c r="BA87" s="31"/>
      <c r="BB87" s="162"/>
      <c r="BC87" s="149"/>
      <c r="BD87" s="141"/>
      <c r="BE87" s="141"/>
      <c r="BF87" s="141"/>
      <c r="BG87" s="140"/>
      <c r="BH87" s="140"/>
    </row>
    <row r="88" spans="2:60" s="6" customFormat="1" ht="15">
      <c r="B88" s="952"/>
      <c r="E88" s="553"/>
      <c r="F88" s="513"/>
      <c r="G88" s="270"/>
      <c r="H88" s="270"/>
      <c r="I88" s="270"/>
      <c r="J88" s="270"/>
      <c r="K88" s="270"/>
      <c r="L88" s="270"/>
      <c r="M88" s="270"/>
      <c r="N88" s="270"/>
      <c r="O88" s="16"/>
      <c r="P88" s="17"/>
      <c r="Q88" s="158"/>
      <c r="R88" s="18"/>
      <c r="S88" s="18"/>
      <c r="T88" s="89"/>
      <c r="U88" s="108"/>
      <c r="V88" s="18"/>
      <c r="W88" s="10"/>
      <c r="X88" s="10"/>
      <c r="Y88" s="10"/>
      <c r="Z88" s="464"/>
      <c r="AA88" s="10"/>
      <c r="AB88" s="10"/>
      <c r="AC88" s="10"/>
      <c r="AD88" s="204"/>
      <c r="AE88" s="10"/>
      <c r="AF88" s="304"/>
      <c r="AG88" s="63"/>
      <c r="AH88" s="318"/>
      <c r="AI88" s="10"/>
      <c r="AJ88" s="10"/>
      <c r="AK88" s="10"/>
      <c r="AL88" s="339"/>
      <c r="AM88" s="63"/>
      <c r="AN88" s="10"/>
      <c r="AO88" s="10"/>
      <c r="AP88" s="63"/>
      <c r="AQ88" s="304"/>
      <c r="AR88" s="63"/>
      <c r="AS88" s="11"/>
      <c r="AT88" s="108"/>
      <c r="AU88" s="524"/>
      <c r="AV88" s="11"/>
      <c r="AW88" s="11"/>
      <c r="AX88" s="102"/>
      <c r="BA88" s="31"/>
      <c r="BB88" s="162"/>
      <c r="BC88" s="149"/>
      <c r="BD88" s="141"/>
      <c r="BE88" s="141"/>
      <c r="BF88" s="141"/>
      <c r="BG88" s="140"/>
      <c r="BH88" s="140"/>
    </row>
    <row r="89" spans="2:60" s="6" customFormat="1" ht="15">
      <c r="B89" s="952"/>
      <c r="E89" s="553"/>
      <c r="F89" s="513"/>
      <c r="G89" s="270"/>
      <c r="H89" s="270"/>
      <c r="I89" s="270"/>
      <c r="J89" s="270"/>
      <c r="K89" s="270"/>
      <c r="L89" s="270"/>
      <c r="M89" s="270"/>
      <c r="N89" s="270"/>
      <c r="O89" s="16"/>
      <c r="P89" s="17"/>
      <c r="Q89" s="158"/>
      <c r="R89" s="18"/>
      <c r="S89" s="18"/>
      <c r="T89" s="89"/>
      <c r="U89" s="108"/>
      <c r="V89" s="18"/>
      <c r="W89" s="10"/>
      <c r="X89" s="10"/>
      <c r="Y89" s="10"/>
      <c r="Z89" s="464"/>
      <c r="AA89" s="10"/>
      <c r="AB89" s="10"/>
      <c r="AC89" s="10"/>
      <c r="AD89" s="204"/>
      <c r="AE89" s="10"/>
      <c r="AF89" s="304"/>
      <c r="AG89" s="63"/>
      <c r="AH89" s="318"/>
      <c r="AI89" s="10"/>
      <c r="AJ89" s="10"/>
      <c r="AK89" s="10"/>
      <c r="AL89" s="339"/>
      <c r="AM89" s="63"/>
      <c r="AN89" s="10"/>
      <c r="AO89" s="10"/>
      <c r="AP89" s="63"/>
      <c r="AQ89" s="304"/>
      <c r="AR89" s="63"/>
      <c r="AS89" s="11"/>
      <c r="AT89" s="108"/>
      <c r="AU89" s="524"/>
      <c r="AV89" s="11"/>
      <c r="AW89" s="11"/>
      <c r="AX89" s="102"/>
      <c r="BA89" s="31"/>
      <c r="BB89" s="162"/>
      <c r="BC89" s="149"/>
      <c r="BD89" s="141"/>
      <c r="BE89" s="141"/>
      <c r="BF89" s="141"/>
      <c r="BG89" s="140"/>
      <c r="BH89" s="140"/>
    </row>
    <row r="90" spans="2:60" s="6" customFormat="1" ht="15">
      <c r="B90" s="952"/>
      <c r="E90" s="553"/>
      <c r="F90" s="513"/>
      <c r="G90" s="270"/>
      <c r="H90" s="270"/>
      <c r="I90" s="270"/>
      <c r="J90" s="270"/>
      <c r="K90" s="270"/>
      <c r="L90" s="270"/>
      <c r="M90" s="270"/>
      <c r="N90" s="270"/>
      <c r="O90" s="16"/>
      <c r="P90" s="17"/>
      <c r="Q90" s="158"/>
      <c r="R90" s="18"/>
      <c r="S90" s="18"/>
      <c r="T90" s="89"/>
      <c r="U90" s="108"/>
      <c r="V90" s="18"/>
      <c r="W90" s="10"/>
      <c r="X90" s="10"/>
      <c r="Y90" s="10"/>
      <c r="Z90" s="464"/>
      <c r="AA90" s="10"/>
      <c r="AB90" s="10"/>
      <c r="AC90" s="10"/>
      <c r="AD90" s="204"/>
      <c r="AE90" s="10"/>
      <c r="AF90" s="304"/>
      <c r="AG90" s="63"/>
      <c r="AH90" s="318"/>
      <c r="AI90" s="10"/>
      <c r="AJ90" s="10"/>
      <c r="AK90" s="10"/>
      <c r="AL90" s="339"/>
      <c r="AM90" s="63"/>
      <c r="AN90" s="10"/>
      <c r="AO90" s="10"/>
      <c r="AP90" s="63"/>
      <c r="AQ90" s="304"/>
      <c r="AR90" s="63"/>
      <c r="AS90" s="11"/>
      <c r="AT90" s="108"/>
      <c r="AU90" s="524"/>
      <c r="AV90" s="11"/>
      <c r="AW90" s="11"/>
      <c r="AX90" s="102"/>
      <c r="BA90" s="31"/>
      <c r="BB90" s="162"/>
      <c r="BC90" s="149"/>
      <c r="BD90" s="141"/>
      <c r="BE90" s="141"/>
      <c r="BF90" s="141"/>
      <c r="BG90" s="140"/>
      <c r="BH90" s="140"/>
    </row>
    <row r="91" spans="2:60" s="6" customFormat="1" ht="15">
      <c r="B91" s="952"/>
      <c r="E91" s="553"/>
      <c r="F91" s="513"/>
      <c r="G91" s="270"/>
      <c r="H91" s="270"/>
      <c r="I91" s="270"/>
      <c r="J91" s="270"/>
      <c r="K91" s="270"/>
      <c r="L91" s="270"/>
      <c r="M91" s="270"/>
      <c r="N91" s="270"/>
      <c r="O91" s="16"/>
      <c r="P91" s="17"/>
      <c r="Q91" s="158"/>
      <c r="R91" s="18"/>
      <c r="S91" s="18"/>
      <c r="T91" s="89"/>
      <c r="U91" s="108"/>
      <c r="V91" s="18"/>
      <c r="W91" s="10"/>
      <c r="X91" s="10"/>
      <c r="Y91" s="10"/>
      <c r="Z91" s="464"/>
      <c r="AA91" s="10"/>
      <c r="AB91" s="10"/>
      <c r="AC91" s="10"/>
      <c r="AD91" s="204"/>
      <c r="AE91" s="10"/>
      <c r="AF91" s="304"/>
      <c r="AG91" s="63"/>
      <c r="AH91" s="318"/>
      <c r="AI91" s="10"/>
      <c r="AJ91" s="10"/>
      <c r="AK91" s="10"/>
      <c r="AL91" s="339"/>
      <c r="AM91" s="63"/>
      <c r="AN91" s="10"/>
      <c r="AO91" s="10"/>
      <c r="AP91" s="63"/>
      <c r="AQ91" s="304"/>
      <c r="AR91" s="63"/>
      <c r="AS91" s="11"/>
      <c r="AT91" s="108"/>
      <c r="AU91" s="524"/>
      <c r="AV91" s="11"/>
      <c r="AW91" s="11"/>
      <c r="AX91" s="102"/>
      <c r="BA91" s="31"/>
      <c r="BB91" s="162"/>
      <c r="BC91" s="149"/>
      <c r="BD91" s="141"/>
      <c r="BE91" s="141"/>
      <c r="BF91" s="141"/>
      <c r="BG91" s="140"/>
      <c r="BH91" s="140"/>
    </row>
    <row r="92" spans="2:60" s="6" customFormat="1" ht="15">
      <c r="B92" s="952"/>
      <c r="E92" s="553"/>
      <c r="F92" s="513"/>
      <c r="G92" s="270"/>
      <c r="H92" s="270"/>
      <c r="I92" s="270"/>
      <c r="J92" s="270"/>
      <c r="K92" s="270"/>
      <c r="L92" s="270"/>
      <c r="M92" s="270"/>
      <c r="N92" s="270"/>
      <c r="O92" s="16"/>
      <c r="P92" s="17"/>
      <c r="Q92" s="158"/>
      <c r="R92" s="18"/>
      <c r="S92" s="18"/>
      <c r="T92" s="89"/>
      <c r="U92" s="108"/>
      <c r="V92" s="18"/>
      <c r="W92" s="10"/>
      <c r="X92" s="10"/>
      <c r="Y92" s="10"/>
      <c r="Z92" s="464"/>
      <c r="AA92" s="10"/>
      <c r="AB92" s="10"/>
      <c r="AC92" s="10"/>
      <c r="AD92" s="204"/>
      <c r="AE92" s="10"/>
      <c r="AF92" s="304"/>
      <c r="AG92" s="63"/>
      <c r="AH92" s="318"/>
      <c r="AI92" s="10"/>
      <c r="AJ92" s="10"/>
      <c r="AK92" s="10"/>
      <c r="AL92" s="339"/>
      <c r="AM92" s="63"/>
      <c r="AN92" s="10"/>
      <c r="AO92" s="10"/>
      <c r="AP92" s="63"/>
      <c r="AQ92" s="304"/>
      <c r="AR92" s="63"/>
      <c r="AS92" s="11"/>
      <c r="AT92" s="108"/>
      <c r="AU92" s="524"/>
      <c r="AV92" s="11"/>
      <c r="AW92" s="11"/>
      <c r="AX92" s="102"/>
      <c r="BA92" s="31"/>
      <c r="BB92" s="162"/>
      <c r="BC92" s="149"/>
      <c r="BD92" s="141"/>
      <c r="BE92" s="141"/>
      <c r="BF92" s="141"/>
      <c r="BG92" s="140"/>
      <c r="BH92" s="140"/>
    </row>
    <row r="93" spans="2:60" s="6" customFormat="1" ht="15">
      <c r="B93" s="952"/>
      <c r="E93" s="553"/>
      <c r="F93" s="513"/>
      <c r="G93" s="270"/>
      <c r="H93" s="270"/>
      <c r="I93" s="270"/>
      <c r="J93" s="270"/>
      <c r="K93" s="270"/>
      <c r="L93" s="270"/>
      <c r="M93" s="270"/>
      <c r="N93" s="270"/>
      <c r="O93" s="16"/>
      <c r="P93" s="17"/>
      <c r="Q93" s="158"/>
      <c r="R93" s="18"/>
      <c r="S93" s="18"/>
      <c r="T93" s="89"/>
      <c r="U93" s="108"/>
      <c r="V93" s="18"/>
      <c r="W93" s="10"/>
      <c r="X93" s="10"/>
      <c r="Y93" s="10"/>
      <c r="Z93" s="464"/>
      <c r="AA93" s="10"/>
      <c r="AB93" s="10"/>
      <c r="AC93" s="10"/>
      <c r="AD93" s="204"/>
      <c r="AE93" s="10"/>
      <c r="AF93" s="304"/>
      <c r="AG93" s="63"/>
      <c r="AH93" s="318"/>
      <c r="AI93" s="10"/>
      <c r="AJ93" s="10"/>
      <c r="AK93" s="10"/>
      <c r="AL93" s="339"/>
      <c r="AM93" s="63"/>
      <c r="AN93" s="10"/>
      <c r="AO93" s="10"/>
      <c r="AP93" s="63"/>
      <c r="AQ93" s="304"/>
      <c r="AR93" s="63"/>
      <c r="AS93" s="11"/>
      <c r="AT93" s="108"/>
      <c r="AU93" s="524"/>
      <c r="AV93" s="11"/>
      <c r="AW93" s="11"/>
      <c r="AX93" s="102"/>
      <c r="BA93" s="31"/>
      <c r="BB93" s="162"/>
      <c r="BC93" s="149"/>
      <c r="BD93" s="141"/>
      <c r="BE93" s="141"/>
      <c r="BF93" s="141"/>
      <c r="BG93" s="140"/>
      <c r="BH93" s="140"/>
    </row>
    <row r="94" spans="2:60" s="6" customFormat="1" ht="15">
      <c r="B94" s="952"/>
      <c r="E94" s="553"/>
      <c r="F94" s="513"/>
      <c r="G94" s="270"/>
      <c r="H94" s="270"/>
      <c r="I94" s="270"/>
      <c r="J94" s="270"/>
      <c r="K94" s="270"/>
      <c r="L94" s="270"/>
      <c r="M94" s="270"/>
      <c r="N94" s="270"/>
      <c r="O94" s="16"/>
      <c r="P94" s="17"/>
      <c r="Q94" s="158"/>
      <c r="R94" s="18"/>
      <c r="S94" s="18"/>
      <c r="T94" s="89"/>
      <c r="U94" s="108"/>
      <c r="V94" s="18"/>
      <c r="W94" s="10"/>
      <c r="X94" s="10"/>
      <c r="Y94" s="10"/>
      <c r="Z94" s="464"/>
      <c r="AA94" s="10"/>
      <c r="AB94" s="10"/>
      <c r="AC94" s="10"/>
      <c r="AD94" s="204"/>
      <c r="AE94" s="10"/>
      <c r="AF94" s="304"/>
      <c r="AG94" s="63"/>
      <c r="AH94" s="318"/>
      <c r="AI94" s="10"/>
      <c r="AJ94" s="10"/>
      <c r="AK94" s="10"/>
      <c r="AL94" s="339"/>
      <c r="AM94" s="63"/>
      <c r="AN94" s="10"/>
      <c r="AO94" s="10"/>
      <c r="AP94" s="63"/>
      <c r="AQ94" s="304"/>
      <c r="AR94" s="63"/>
      <c r="AS94" s="11"/>
      <c r="AT94" s="108"/>
      <c r="AU94" s="524"/>
      <c r="AV94" s="11"/>
      <c r="AW94" s="11"/>
      <c r="AX94" s="102"/>
      <c r="BA94" s="31"/>
      <c r="BB94" s="162"/>
      <c r="BC94" s="149"/>
      <c r="BD94" s="141"/>
      <c r="BE94" s="141"/>
      <c r="BF94" s="141"/>
      <c r="BG94" s="140"/>
      <c r="BH94" s="140"/>
    </row>
    <row r="95" spans="2:60" s="6" customFormat="1" ht="15">
      <c r="B95" s="952"/>
      <c r="E95" s="553"/>
      <c r="F95" s="513"/>
      <c r="G95" s="270"/>
      <c r="H95" s="270"/>
      <c r="I95" s="270"/>
      <c r="J95" s="270"/>
      <c r="K95" s="270"/>
      <c r="L95" s="270"/>
      <c r="M95" s="270"/>
      <c r="N95" s="270"/>
      <c r="O95" s="16"/>
      <c r="P95" s="17"/>
      <c r="Q95" s="158"/>
      <c r="R95" s="18"/>
      <c r="S95" s="18"/>
      <c r="T95" s="89"/>
      <c r="U95" s="108"/>
      <c r="V95" s="18"/>
      <c r="W95" s="10"/>
      <c r="X95" s="10"/>
      <c r="Y95" s="10"/>
      <c r="Z95" s="464"/>
      <c r="AA95" s="10"/>
      <c r="AB95" s="10"/>
      <c r="AC95" s="10"/>
      <c r="AD95" s="204"/>
      <c r="AE95" s="10"/>
      <c r="AF95" s="304"/>
      <c r="AG95" s="63"/>
      <c r="AH95" s="318"/>
      <c r="AI95" s="10"/>
      <c r="AJ95" s="10"/>
      <c r="AK95" s="10"/>
      <c r="AL95" s="339"/>
      <c r="AM95" s="63"/>
      <c r="AN95" s="10"/>
      <c r="AO95" s="10"/>
      <c r="AP95" s="63"/>
      <c r="AQ95" s="304"/>
      <c r="AR95" s="63"/>
      <c r="AS95" s="11"/>
      <c r="AT95" s="108"/>
      <c r="AU95" s="524"/>
      <c r="AV95" s="11"/>
      <c r="AW95" s="11"/>
      <c r="AX95" s="102"/>
      <c r="BA95" s="31"/>
      <c r="BB95" s="162"/>
      <c r="BC95" s="149"/>
      <c r="BD95" s="141"/>
      <c r="BE95" s="141"/>
      <c r="BF95" s="141"/>
      <c r="BG95" s="140"/>
      <c r="BH95" s="140"/>
    </row>
    <row r="96" spans="2:60" s="6" customFormat="1" ht="15">
      <c r="B96" s="952"/>
      <c r="E96" s="553"/>
      <c r="F96" s="513"/>
      <c r="G96" s="270"/>
      <c r="H96" s="270"/>
      <c r="I96" s="270"/>
      <c r="J96" s="270"/>
      <c r="K96" s="270"/>
      <c r="L96" s="270"/>
      <c r="M96" s="270"/>
      <c r="N96" s="270"/>
      <c r="O96" s="16"/>
      <c r="P96" s="17"/>
      <c r="Q96" s="158"/>
      <c r="R96" s="18"/>
      <c r="S96" s="18"/>
      <c r="T96" s="89"/>
      <c r="U96" s="108"/>
      <c r="V96" s="18"/>
      <c r="W96" s="10"/>
      <c r="X96" s="10"/>
      <c r="Y96" s="10"/>
      <c r="Z96" s="464"/>
      <c r="AA96" s="10"/>
      <c r="AB96" s="10"/>
      <c r="AC96" s="10"/>
      <c r="AD96" s="204"/>
      <c r="AE96" s="10"/>
      <c r="AF96" s="304"/>
      <c r="AG96" s="63"/>
      <c r="AH96" s="318"/>
      <c r="AI96" s="10"/>
      <c r="AJ96" s="10"/>
      <c r="AK96" s="10"/>
      <c r="AL96" s="339"/>
      <c r="AM96" s="63"/>
      <c r="AN96" s="10"/>
      <c r="AO96" s="10"/>
      <c r="AP96" s="63"/>
      <c r="AQ96" s="304"/>
      <c r="AR96" s="63"/>
      <c r="AS96" s="11"/>
      <c r="AT96" s="108"/>
      <c r="AU96" s="524"/>
      <c r="AV96" s="11"/>
      <c r="AW96" s="11"/>
      <c r="AX96" s="102"/>
      <c r="BA96" s="31"/>
      <c r="BB96" s="162"/>
      <c r="BC96" s="149"/>
      <c r="BD96" s="141"/>
      <c r="BE96" s="141"/>
      <c r="BF96" s="141"/>
      <c r="BG96" s="140"/>
      <c r="BH96" s="140"/>
    </row>
    <row r="97" spans="2:60" s="6" customFormat="1" ht="15">
      <c r="B97" s="952"/>
      <c r="E97" s="553"/>
      <c r="F97" s="513"/>
      <c r="G97" s="270"/>
      <c r="H97" s="270"/>
      <c r="I97" s="270"/>
      <c r="J97" s="270"/>
      <c r="K97" s="270"/>
      <c r="L97" s="270"/>
      <c r="M97" s="270"/>
      <c r="N97" s="270"/>
      <c r="O97" s="16"/>
      <c r="P97" s="17"/>
      <c r="Q97" s="158"/>
      <c r="R97" s="18"/>
      <c r="S97" s="18"/>
      <c r="T97" s="89"/>
      <c r="U97" s="108"/>
      <c r="V97" s="18"/>
      <c r="W97" s="10"/>
      <c r="X97" s="10"/>
      <c r="Y97" s="10"/>
      <c r="Z97" s="464"/>
      <c r="AA97" s="10"/>
      <c r="AB97" s="10"/>
      <c r="AC97" s="10"/>
      <c r="AD97" s="204"/>
      <c r="AE97" s="10"/>
      <c r="AF97" s="304"/>
      <c r="AG97" s="63"/>
      <c r="AH97" s="318"/>
      <c r="AI97" s="10"/>
      <c r="AJ97" s="10"/>
      <c r="AK97" s="10"/>
      <c r="AL97" s="339"/>
      <c r="AM97" s="63"/>
      <c r="AN97" s="10"/>
      <c r="AO97" s="10"/>
      <c r="AP97" s="63"/>
      <c r="AQ97" s="304"/>
      <c r="AR97" s="63"/>
      <c r="AS97" s="11"/>
      <c r="AT97" s="108"/>
      <c r="AU97" s="524"/>
      <c r="AV97" s="11"/>
      <c r="AW97" s="11"/>
      <c r="AX97" s="102"/>
      <c r="BA97" s="31"/>
      <c r="BB97" s="162"/>
      <c r="BC97" s="149"/>
      <c r="BD97" s="141"/>
      <c r="BE97" s="141"/>
      <c r="BF97" s="141"/>
      <c r="BG97" s="140"/>
      <c r="BH97" s="140"/>
    </row>
    <row r="98" spans="2:60" s="6" customFormat="1" ht="15">
      <c r="B98" s="952"/>
      <c r="E98" s="553"/>
      <c r="F98" s="513"/>
      <c r="G98" s="270"/>
      <c r="H98" s="270"/>
      <c r="I98" s="270"/>
      <c r="J98" s="270"/>
      <c r="K98" s="270"/>
      <c r="L98" s="270"/>
      <c r="M98" s="270"/>
      <c r="N98" s="270"/>
      <c r="O98" s="16"/>
      <c r="P98" s="17"/>
      <c r="Q98" s="158"/>
      <c r="R98" s="18"/>
      <c r="S98" s="18"/>
      <c r="T98" s="89"/>
      <c r="U98" s="108"/>
      <c r="V98" s="18"/>
      <c r="W98" s="10"/>
      <c r="X98" s="10"/>
      <c r="Y98" s="10"/>
      <c r="Z98" s="464"/>
      <c r="AA98" s="10"/>
      <c r="AB98" s="10"/>
      <c r="AC98" s="10"/>
      <c r="AD98" s="204"/>
      <c r="AE98" s="10"/>
      <c r="AF98" s="304"/>
      <c r="AG98" s="63"/>
      <c r="AH98" s="318"/>
      <c r="AI98" s="10"/>
      <c r="AJ98" s="10"/>
      <c r="AK98" s="10"/>
      <c r="AL98" s="339"/>
      <c r="AM98" s="63"/>
      <c r="AN98" s="10"/>
      <c r="AO98" s="10"/>
      <c r="AP98" s="63"/>
      <c r="AQ98" s="304"/>
      <c r="AR98" s="63"/>
      <c r="AS98" s="11"/>
      <c r="AT98" s="108"/>
      <c r="AU98" s="524"/>
      <c r="AV98" s="11"/>
      <c r="AW98" s="11"/>
      <c r="AX98" s="102"/>
      <c r="BA98" s="31"/>
      <c r="BB98" s="162"/>
      <c r="BC98" s="149"/>
      <c r="BD98" s="141"/>
      <c r="BE98" s="141"/>
      <c r="BF98" s="141"/>
      <c r="BG98" s="140"/>
      <c r="BH98" s="140"/>
    </row>
    <row r="99" spans="2:60" s="6" customFormat="1" ht="15">
      <c r="B99" s="952"/>
      <c r="E99" s="553"/>
      <c r="F99" s="513"/>
      <c r="G99" s="270"/>
      <c r="H99" s="270"/>
      <c r="I99" s="270"/>
      <c r="J99" s="270"/>
      <c r="K99" s="270"/>
      <c r="L99" s="270"/>
      <c r="M99" s="270"/>
      <c r="N99" s="270"/>
      <c r="O99" s="16"/>
      <c r="P99" s="17"/>
      <c r="Q99" s="158"/>
      <c r="R99" s="18"/>
      <c r="S99" s="18"/>
      <c r="T99" s="89"/>
      <c r="U99" s="108"/>
      <c r="V99" s="18"/>
      <c r="W99" s="10"/>
      <c r="X99" s="10"/>
      <c r="Y99" s="10"/>
      <c r="Z99" s="464"/>
      <c r="AA99" s="10"/>
      <c r="AB99" s="10"/>
      <c r="AC99" s="10"/>
      <c r="AD99" s="204"/>
      <c r="AE99" s="10"/>
      <c r="AF99" s="304"/>
      <c r="AG99" s="63"/>
      <c r="AH99" s="318"/>
      <c r="AI99" s="10"/>
      <c r="AJ99" s="10"/>
      <c r="AK99" s="10"/>
      <c r="AL99" s="339"/>
      <c r="AM99" s="63"/>
      <c r="AN99" s="10"/>
      <c r="AO99" s="10"/>
      <c r="AP99" s="63"/>
      <c r="AQ99" s="304"/>
      <c r="AR99" s="63"/>
      <c r="AS99" s="11"/>
      <c r="AT99" s="108"/>
      <c r="AU99" s="524"/>
      <c r="AV99" s="11"/>
      <c r="AW99" s="11"/>
      <c r="AX99" s="102"/>
      <c r="BA99" s="31"/>
      <c r="BB99" s="162"/>
      <c r="BC99" s="149"/>
      <c r="BD99" s="141"/>
      <c r="BE99" s="141"/>
      <c r="BF99" s="141"/>
      <c r="BG99" s="140"/>
      <c r="BH99" s="140"/>
    </row>
    <row r="100" spans="2:60" s="6" customFormat="1" ht="15">
      <c r="B100" s="952"/>
      <c r="E100" s="553"/>
      <c r="F100" s="513"/>
      <c r="G100" s="270"/>
      <c r="H100" s="270"/>
      <c r="I100" s="270"/>
      <c r="J100" s="270"/>
      <c r="K100" s="270"/>
      <c r="L100" s="270"/>
      <c r="M100" s="270"/>
      <c r="N100" s="270"/>
      <c r="O100" s="16"/>
      <c r="P100" s="17"/>
      <c r="Q100" s="158"/>
      <c r="R100" s="18"/>
      <c r="S100" s="18"/>
      <c r="T100" s="89"/>
      <c r="U100" s="108"/>
      <c r="V100" s="18"/>
      <c r="W100" s="10"/>
      <c r="X100" s="10"/>
      <c r="Y100" s="10"/>
      <c r="Z100" s="464"/>
      <c r="AA100" s="10"/>
      <c r="AB100" s="10"/>
      <c r="AC100" s="10"/>
      <c r="AD100" s="204"/>
      <c r="AE100" s="10"/>
      <c r="AF100" s="304"/>
      <c r="AG100" s="63"/>
      <c r="AH100" s="318"/>
      <c r="AI100" s="10"/>
      <c r="AJ100" s="10"/>
      <c r="AK100" s="10"/>
      <c r="AL100" s="339"/>
      <c r="AM100" s="63"/>
      <c r="AN100" s="10"/>
      <c r="AO100" s="10"/>
      <c r="AP100" s="63"/>
      <c r="AQ100" s="304"/>
      <c r="AR100" s="63"/>
      <c r="AS100" s="11"/>
      <c r="AT100" s="108"/>
      <c r="AU100" s="524"/>
      <c r="AV100" s="11"/>
      <c r="AW100" s="11"/>
      <c r="AX100" s="102"/>
      <c r="BA100" s="31"/>
      <c r="BB100" s="162"/>
      <c r="BC100" s="149"/>
      <c r="BD100" s="141"/>
      <c r="BE100" s="141"/>
      <c r="BF100" s="141"/>
      <c r="BG100" s="140"/>
      <c r="BH100" s="140"/>
    </row>
    <row r="101" spans="2:60" s="6" customFormat="1" ht="15">
      <c r="B101" s="952"/>
      <c r="E101" s="553"/>
      <c r="F101" s="513"/>
      <c r="G101" s="270"/>
      <c r="H101" s="270"/>
      <c r="I101" s="270"/>
      <c r="J101" s="270"/>
      <c r="K101" s="270"/>
      <c r="L101" s="270"/>
      <c r="M101" s="270"/>
      <c r="N101" s="270"/>
      <c r="O101" s="16"/>
      <c r="P101" s="17"/>
      <c r="Q101" s="158"/>
      <c r="R101" s="18"/>
      <c r="S101" s="18"/>
      <c r="T101" s="89"/>
      <c r="U101" s="108"/>
      <c r="V101" s="18"/>
      <c r="W101" s="10"/>
      <c r="X101" s="10"/>
      <c r="Y101" s="10"/>
      <c r="Z101" s="464"/>
      <c r="AA101" s="10"/>
      <c r="AB101" s="10"/>
      <c r="AC101" s="10"/>
      <c r="AD101" s="204"/>
      <c r="AE101" s="10"/>
      <c r="AF101" s="304"/>
      <c r="AG101" s="63"/>
      <c r="AH101" s="318"/>
      <c r="AI101" s="10"/>
      <c r="AJ101" s="10"/>
      <c r="AK101" s="10"/>
      <c r="AL101" s="339"/>
      <c r="AM101" s="63"/>
      <c r="AN101" s="10"/>
      <c r="AO101" s="10"/>
      <c r="AP101" s="63"/>
      <c r="AQ101" s="304"/>
      <c r="AR101" s="63"/>
      <c r="AS101" s="11"/>
      <c r="AT101" s="108"/>
      <c r="AU101" s="524"/>
      <c r="AV101" s="11"/>
      <c r="AW101" s="11"/>
      <c r="AX101" s="102"/>
      <c r="BA101" s="31"/>
      <c r="BB101" s="162"/>
      <c r="BC101" s="149"/>
      <c r="BD101" s="141"/>
      <c r="BE101" s="141"/>
      <c r="BF101" s="141"/>
      <c r="BG101" s="140"/>
      <c r="BH101" s="140"/>
    </row>
    <row r="102" spans="2:60" s="6" customFormat="1" ht="15">
      <c r="B102" s="952"/>
      <c r="E102" s="553"/>
      <c r="F102" s="513"/>
      <c r="G102" s="270"/>
      <c r="H102" s="270"/>
      <c r="I102" s="270"/>
      <c r="J102" s="270"/>
      <c r="K102" s="270"/>
      <c r="L102" s="270"/>
      <c r="M102" s="270"/>
      <c r="N102" s="270"/>
      <c r="O102" s="16"/>
      <c r="P102" s="17"/>
      <c r="Q102" s="158"/>
      <c r="R102" s="18"/>
      <c r="S102" s="18"/>
      <c r="T102" s="89"/>
      <c r="U102" s="108"/>
      <c r="V102" s="18"/>
      <c r="W102" s="10"/>
      <c r="X102" s="10"/>
      <c r="Y102" s="10"/>
      <c r="Z102" s="464"/>
      <c r="AA102" s="10"/>
      <c r="AB102" s="10"/>
      <c r="AC102" s="10"/>
      <c r="AD102" s="204"/>
      <c r="AE102" s="10"/>
      <c r="AF102" s="304"/>
      <c r="AG102" s="63"/>
      <c r="AH102" s="318"/>
      <c r="AI102" s="10"/>
      <c r="AJ102" s="10"/>
      <c r="AK102" s="10"/>
      <c r="AL102" s="339"/>
      <c r="AM102" s="63"/>
      <c r="AN102" s="10"/>
      <c r="AO102" s="10"/>
      <c r="AP102" s="63"/>
      <c r="AQ102" s="304"/>
      <c r="AR102" s="63"/>
      <c r="AS102" s="11"/>
      <c r="AT102" s="108"/>
      <c r="AU102" s="524"/>
      <c r="AV102" s="11"/>
      <c r="AW102" s="11"/>
      <c r="AX102" s="102"/>
      <c r="BA102" s="31"/>
      <c r="BB102" s="162"/>
      <c r="BC102" s="149"/>
      <c r="BD102" s="141"/>
      <c r="BE102" s="141"/>
      <c r="BF102" s="141"/>
      <c r="BG102" s="140"/>
      <c r="BH102" s="140"/>
    </row>
    <row r="103" spans="2:60" s="6" customFormat="1" ht="15">
      <c r="B103" s="952"/>
      <c r="E103" s="553"/>
      <c r="F103" s="513"/>
      <c r="G103" s="270"/>
      <c r="H103" s="270"/>
      <c r="I103" s="270"/>
      <c r="J103" s="270"/>
      <c r="K103" s="270"/>
      <c r="L103" s="270"/>
      <c r="M103" s="270"/>
      <c r="N103" s="270"/>
      <c r="O103" s="16"/>
      <c r="P103" s="17"/>
      <c r="Q103" s="158"/>
      <c r="R103" s="18"/>
      <c r="S103" s="18"/>
      <c r="T103" s="89"/>
      <c r="U103" s="108"/>
      <c r="V103" s="18"/>
      <c r="W103" s="10"/>
      <c r="X103" s="10"/>
      <c r="Y103" s="10"/>
      <c r="Z103" s="464"/>
      <c r="AA103" s="10"/>
      <c r="AB103" s="10"/>
      <c r="AC103" s="10"/>
      <c r="AD103" s="204"/>
      <c r="AE103" s="10"/>
      <c r="AF103" s="304"/>
      <c r="AG103" s="63"/>
      <c r="AH103" s="318"/>
      <c r="AI103" s="10"/>
      <c r="AJ103" s="10"/>
      <c r="AK103" s="10"/>
      <c r="AL103" s="339"/>
      <c r="AM103" s="63"/>
      <c r="AN103" s="10"/>
      <c r="AO103" s="10"/>
      <c r="AP103" s="63"/>
      <c r="AQ103" s="304"/>
      <c r="AR103" s="63"/>
      <c r="AS103" s="11"/>
      <c r="AT103" s="108"/>
      <c r="AU103" s="524"/>
      <c r="AV103" s="11"/>
      <c r="AW103" s="11"/>
      <c r="AX103" s="102"/>
      <c r="BA103" s="31"/>
      <c r="BB103" s="162"/>
      <c r="BC103" s="149"/>
      <c r="BD103" s="141"/>
      <c r="BE103" s="141"/>
      <c r="BF103" s="141"/>
      <c r="BG103" s="140"/>
      <c r="BH103" s="140"/>
    </row>
    <row r="104" spans="2:60" s="6" customFormat="1" ht="15">
      <c r="B104" s="952"/>
      <c r="E104" s="553"/>
      <c r="F104" s="513"/>
      <c r="G104" s="270"/>
      <c r="H104" s="270"/>
      <c r="I104" s="270"/>
      <c r="J104" s="270"/>
      <c r="K104" s="270"/>
      <c r="L104" s="270"/>
      <c r="M104" s="270"/>
      <c r="N104" s="270"/>
      <c r="O104" s="16"/>
      <c r="P104" s="17"/>
      <c r="Q104" s="158"/>
      <c r="R104" s="18"/>
      <c r="S104" s="18"/>
      <c r="T104" s="89"/>
      <c r="U104" s="108"/>
      <c r="V104" s="18"/>
      <c r="W104" s="10"/>
      <c r="X104" s="10"/>
      <c r="Y104" s="10"/>
      <c r="Z104" s="464"/>
      <c r="AA104" s="10"/>
      <c r="AB104" s="10"/>
      <c r="AC104" s="10"/>
      <c r="AD104" s="204"/>
      <c r="AE104" s="10"/>
      <c r="AF104" s="304"/>
      <c r="AG104" s="63"/>
      <c r="AH104" s="318"/>
      <c r="AI104" s="10"/>
      <c r="AJ104" s="10"/>
      <c r="AK104" s="10"/>
      <c r="AL104" s="339"/>
      <c r="AM104" s="63"/>
      <c r="AN104" s="10"/>
      <c r="AO104" s="10"/>
      <c r="AP104" s="63"/>
      <c r="AQ104" s="304"/>
      <c r="AR104" s="63"/>
      <c r="AS104" s="11"/>
      <c r="AT104" s="108"/>
      <c r="AU104" s="524"/>
      <c r="AV104" s="11"/>
      <c r="AW104" s="11"/>
      <c r="AX104" s="102"/>
      <c r="BA104" s="31"/>
      <c r="BB104" s="162"/>
      <c r="BC104" s="149"/>
      <c r="BD104" s="141"/>
      <c r="BE104" s="141"/>
      <c r="BF104" s="141"/>
      <c r="BG104" s="140"/>
      <c r="BH104" s="140"/>
    </row>
    <row r="105" spans="2:60" s="6" customFormat="1" ht="15">
      <c r="B105" s="952"/>
      <c r="E105" s="553"/>
      <c r="F105" s="513"/>
      <c r="G105" s="270"/>
      <c r="H105" s="270"/>
      <c r="I105" s="270"/>
      <c r="J105" s="270"/>
      <c r="K105" s="270"/>
      <c r="L105" s="270"/>
      <c r="M105" s="270"/>
      <c r="N105" s="270"/>
      <c r="O105" s="16"/>
      <c r="P105" s="17"/>
      <c r="Q105" s="158"/>
      <c r="R105" s="18"/>
      <c r="S105" s="18"/>
      <c r="T105" s="89"/>
      <c r="U105" s="108"/>
      <c r="V105" s="18"/>
      <c r="W105" s="10"/>
      <c r="X105" s="10"/>
      <c r="Y105" s="10"/>
      <c r="Z105" s="464"/>
      <c r="AA105" s="10"/>
      <c r="AB105" s="10"/>
      <c r="AC105" s="10"/>
      <c r="AD105" s="204"/>
      <c r="AE105" s="10"/>
      <c r="AF105" s="304"/>
      <c r="AG105" s="63"/>
      <c r="AH105" s="318"/>
      <c r="AI105" s="10"/>
      <c r="AJ105" s="10"/>
      <c r="AK105" s="10"/>
      <c r="AL105" s="339"/>
      <c r="AM105" s="63"/>
      <c r="AN105" s="10"/>
      <c r="AO105" s="10"/>
      <c r="AP105" s="63"/>
      <c r="AQ105" s="304"/>
      <c r="AR105" s="63"/>
      <c r="AS105" s="11"/>
      <c r="AT105" s="108"/>
      <c r="AU105" s="524"/>
      <c r="AV105" s="11"/>
      <c r="AW105" s="11"/>
      <c r="AX105" s="102"/>
      <c r="BA105" s="31"/>
      <c r="BB105" s="162"/>
      <c r="BC105" s="149"/>
      <c r="BD105" s="141"/>
      <c r="BE105" s="141"/>
      <c r="BF105" s="141"/>
      <c r="BG105" s="140"/>
      <c r="BH105" s="140"/>
    </row>
    <row r="106" spans="2:60" s="6" customFormat="1" ht="15">
      <c r="B106" s="952"/>
      <c r="E106" s="553"/>
      <c r="F106" s="513"/>
      <c r="G106" s="270"/>
      <c r="H106" s="270"/>
      <c r="I106" s="270"/>
      <c r="J106" s="270"/>
      <c r="K106" s="270"/>
      <c r="L106" s="270"/>
      <c r="M106" s="270"/>
      <c r="N106" s="270"/>
      <c r="O106" s="16"/>
      <c r="P106" s="17"/>
      <c r="Q106" s="158"/>
      <c r="R106" s="18"/>
      <c r="S106" s="18"/>
      <c r="T106" s="89"/>
      <c r="U106" s="108"/>
      <c r="V106" s="18"/>
      <c r="W106" s="10"/>
      <c r="X106" s="10"/>
      <c r="Y106" s="10"/>
      <c r="Z106" s="464"/>
      <c r="AA106" s="10"/>
      <c r="AB106" s="10"/>
      <c r="AC106" s="10"/>
      <c r="AD106" s="204"/>
      <c r="AE106" s="10"/>
      <c r="AF106" s="304"/>
      <c r="AG106" s="63"/>
      <c r="AH106" s="318"/>
      <c r="AI106" s="10"/>
      <c r="AJ106" s="10"/>
      <c r="AK106" s="10"/>
      <c r="AL106" s="339"/>
      <c r="AM106" s="63"/>
      <c r="AN106" s="10"/>
      <c r="AO106" s="10"/>
      <c r="AP106" s="63"/>
      <c r="AQ106" s="304"/>
      <c r="AR106" s="63"/>
      <c r="AS106" s="11"/>
      <c r="AT106" s="108"/>
      <c r="AU106" s="524"/>
      <c r="AV106" s="11"/>
      <c r="AW106" s="11"/>
      <c r="AX106" s="102"/>
      <c r="BA106" s="31"/>
      <c r="BB106" s="162"/>
      <c r="BC106" s="149"/>
      <c r="BD106" s="141"/>
      <c r="BE106" s="141"/>
      <c r="BF106" s="141"/>
      <c r="BG106" s="140"/>
      <c r="BH106" s="140"/>
    </row>
    <row r="107" spans="2:60" s="6" customFormat="1" ht="15">
      <c r="B107" s="952"/>
      <c r="E107" s="553"/>
      <c r="F107" s="513"/>
      <c r="G107" s="270"/>
      <c r="H107" s="270"/>
      <c r="I107" s="270"/>
      <c r="J107" s="270"/>
      <c r="K107" s="270"/>
      <c r="L107" s="270"/>
      <c r="M107" s="270"/>
      <c r="N107" s="270"/>
      <c r="O107" s="16"/>
      <c r="P107" s="17"/>
      <c r="Q107" s="158"/>
      <c r="R107" s="18"/>
      <c r="S107" s="18"/>
      <c r="T107" s="89"/>
      <c r="U107" s="108"/>
      <c r="V107" s="18"/>
      <c r="W107" s="10"/>
      <c r="X107" s="10"/>
      <c r="Y107" s="10"/>
      <c r="Z107" s="464"/>
      <c r="AA107" s="10"/>
      <c r="AB107" s="10"/>
      <c r="AC107" s="10"/>
      <c r="AD107" s="204"/>
      <c r="AE107" s="10"/>
      <c r="AF107" s="304"/>
      <c r="AG107" s="63"/>
      <c r="AH107" s="318"/>
      <c r="AI107" s="10"/>
      <c r="AJ107" s="10"/>
      <c r="AK107" s="10"/>
      <c r="AL107" s="339"/>
      <c r="AM107" s="63"/>
      <c r="AN107" s="10"/>
      <c r="AO107" s="10"/>
      <c r="AP107" s="63"/>
      <c r="AQ107" s="304"/>
      <c r="AR107" s="63"/>
      <c r="AS107" s="11"/>
      <c r="AT107" s="108"/>
      <c r="AU107" s="524"/>
      <c r="AV107" s="11"/>
      <c r="AW107" s="11"/>
      <c r="AX107" s="102"/>
      <c r="BA107" s="31"/>
      <c r="BB107" s="162"/>
      <c r="BC107" s="149"/>
      <c r="BD107" s="141"/>
      <c r="BE107" s="141"/>
      <c r="BF107" s="141"/>
      <c r="BG107" s="140"/>
      <c r="BH107" s="140"/>
    </row>
    <row r="108" spans="2:60" s="6" customFormat="1" ht="15">
      <c r="B108" s="952"/>
      <c r="E108" s="553"/>
      <c r="F108" s="513"/>
      <c r="G108" s="270"/>
      <c r="H108" s="270"/>
      <c r="I108" s="270"/>
      <c r="J108" s="270"/>
      <c r="K108" s="270"/>
      <c r="L108" s="270"/>
      <c r="M108" s="270"/>
      <c r="N108" s="270"/>
      <c r="O108" s="16"/>
      <c r="P108" s="17"/>
      <c r="Q108" s="158"/>
      <c r="R108" s="18"/>
      <c r="S108" s="18"/>
      <c r="T108" s="89"/>
      <c r="U108" s="108"/>
      <c r="V108" s="18"/>
      <c r="W108" s="10"/>
      <c r="X108" s="10"/>
      <c r="Y108" s="10"/>
      <c r="Z108" s="464"/>
      <c r="AA108" s="10"/>
      <c r="AB108" s="10"/>
      <c r="AC108" s="10"/>
      <c r="AD108" s="204"/>
      <c r="AE108" s="10"/>
      <c r="AF108" s="304"/>
      <c r="AG108" s="63"/>
      <c r="AH108" s="318"/>
      <c r="AI108" s="10"/>
      <c r="AJ108" s="10"/>
      <c r="AK108" s="10"/>
      <c r="AL108" s="339"/>
      <c r="AM108" s="63"/>
      <c r="AN108" s="10"/>
      <c r="AO108" s="10"/>
      <c r="AP108" s="63"/>
      <c r="AQ108" s="304"/>
      <c r="AR108" s="63"/>
      <c r="AS108" s="11"/>
      <c r="AT108" s="108"/>
      <c r="AU108" s="524"/>
      <c r="AV108" s="11"/>
      <c r="AW108" s="11"/>
      <c r="AX108" s="102"/>
      <c r="BA108" s="31"/>
      <c r="BB108" s="162"/>
      <c r="BC108" s="149"/>
      <c r="BD108" s="141"/>
      <c r="BE108" s="141"/>
      <c r="BF108" s="141"/>
      <c r="BG108" s="140"/>
      <c r="BH108" s="140"/>
    </row>
    <row r="109" spans="2:60" s="6" customFormat="1" ht="15">
      <c r="B109" s="952"/>
      <c r="E109" s="553"/>
      <c r="F109" s="513"/>
      <c r="G109" s="270"/>
      <c r="H109" s="270"/>
      <c r="I109" s="270"/>
      <c r="J109" s="270"/>
      <c r="K109" s="270"/>
      <c r="L109" s="270"/>
      <c r="M109" s="270"/>
      <c r="N109" s="270"/>
      <c r="O109" s="16"/>
      <c r="P109" s="17"/>
      <c r="Q109" s="158"/>
      <c r="R109" s="18"/>
      <c r="S109" s="18"/>
      <c r="T109" s="89"/>
      <c r="U109" s="108"/>
      <c r="V109" s="18"/>
      <c r="W109" s="10"/>
      <c r="X109" s="10"/>
      <c r="Y109" s="10"/>
      <c r="Z109" s="464"/>
      <c r="AA109" s="10"/>
      <c r="AB109" s="10"/>
      <c r="AC109" s="10"/>
      <c r="AD109" s="204"/>
      <c r="AE109" s="10"/>
      <c r="AF109" s="304"/>
      <c r="AG109" s="63"/>
      <c r="AH109" s="318"/>
      <c r="AI109" s="10"/>
      <c r="AJ109" s="10"/>
      <c r="AK109" s="10"/>
      <c r="AL109" s="339"/>
      <c r="AM109" s="63"/>
      <c r="AN109" s="10"/>
      <c r="AO109" s="10"/>
      <c r="AP109" s="63"/>
      <c r="AQ109" s="304"/>
      <c r="AR109" s="63"/>
      <c r="AS109" s="11"/>
      <c r="AT109" s="108"/>
      <c r="AU109" s="524"/>
      <c r="AV109" s="11"/>
      <c r="AW109" s="11"/>
      <c r="AX109" s="102"/>
      <c r="BA109" s="31"/>
      <c r="BB109" s="162"/>
      <c r="BC109" s="149"/>
      <c r="BD109" s="141"/>
      <c r="BE109" s="141"/>
      <c r="BF109" s="141"/>
      <c r="BG109" s="140"/>
      <c r="BH109" s="140"/>
    </row>
    <row r="110" spans="2:60" s="6" customFormat="1" ht="15">
      <c r="B110" s="952"/>
      <c r="E110" s="553"/>
      <c r="F110" s="513"/>
      <c r="G110" s="270"/>
      <c r="H110" s="270"/>
      <c r="I110" s="270"/>
      <c r="J110" s="270"/>
      <c r="K110" s="270"/>
      <c r="L110" s="270"/>
      <c r="M110" s="270"/>
      <c r="N110" s="270"/>
      <c r="O110" s="16"/>
      <c r="P110" s="17"/>
      <c r="Q110" s="158"/>
      <c r="R110" s="18"/>
      <c r="S110" s="18"/>
      <c r="T110" s="89"/>
      <c r="U110" s="108"/>
      <c r="V110" s="18"/>
      <c r="W110" s="10"/>
      <c r="X110" s="10"/>
      <c r="Y110" s="10"/>
      <c r="Z110" s="464"/>
      <c r="AA110" s="10"/>
      <c r="AB110" s="10"/>
      <c r="AC110" s="10"/>
      <c r="AD110" s="204"/>
      <c r="AE110" s="10"/>
      <c r="AF110" s="304"/>
      <c r="AG110" s="63"/>
      <c r="AH110" s="318"/>
      <c r="AI110" s="10"/>
      <c r="AJ110" s="10"/>
      <c r="AK110" s="10"/>
      <c r="AL110" s="339"/>
      <c r="AM110" s="63"/>
      <c r="AN110" s="10"/>
      <c r="AO110" s="10"/>
      <c r="AP110" s="63"/>
      <c r="AQ110" s="304"/>
      <c r="AR110" s="63"/>
      <c r="AS110" s="11"/>
      <c r="AT110" s="108"/>
      <c r="AU110" s="524"/>
      <c r="AV110" s="11"/>
      <c r="AW110" s="11"/>
      <c r="AX110" s="102"/>
      <c r="BA110" s="31"/>
      <c r="BB110" s="162"/>
      <c r="BC110" s="149"/>
      <c r="BD110" s="141"/>
      <c r="BE110" s="141"/>
      <c r="BF110" s="141"/>
      <c r="BG110" s="140"/>
      <c r="BH110" s="140"/>
    </row>
    <row r="111" spans="2:60" s="6" customFormat="1" ht="15">
      <c r="B111" s="952"/>
      <c r="E111" s="553"/>
      <c r="F111" s="513"/>
      <c r="G111" s="270"/>
      <c r="H111" s="270"/>
      <c r="I111" s="270"/>
      <c r="J111" s="270"/>
      <c r="K111" s="270"/>
      <c r="L111" s="270"/>
      <c r="M111" s="270"/>
      <c r="N111" s="270"/>
      <c r="O111" s="16"/>
      <c r="P111" s="17"/>
      <c r="Q111" s="158"/>
      <c r="R111" s="18"/>
      <c r="S111" s="18"/>
      <c r="T111" s="89"/>
      <c r="U111" s="108"/>
      <c r="V111" s="18"/>
      <c r="W111" s="10"/>
      <c r="X111" s="10"/>
      <c r="Y111" s="10"/>
      <c r="Z111" s="464"/>
      <c r="AA111" s="10"/>
      <c r="AB111" s="10"/>
      <c r="AC111" s="10"/>
      <c r="AD111" s="204"/>
      <c r="AE111" s="10"/>
      <c r="AF111" s="304"/>
      <c r="AG111" s="63"/>
      <c r="AH111" s="318"/>
      <c r="AI111" s="10"/>
      <c r="AJ111" s="10"/>
      <c r="AK111" s="10"/>
      <c r="AL111" s="339"/>
      <c r="AM111" s="63"/>
      <c r="AN111" s="10"/>
      <c r="AO111" s="10"/>
      <c r="AP111" s="63"/>
      <c r="AQ111" s="304"/>
      <c r="AR111" s="63"/>
      <c r="AS111" s="11"/>
      <c r="AT111" s="108"/>
      <c r="AU111" s="524"/>
      <c r="AV111" s="11"/>
      <c r="AW111" s="11"/>
      <c r="AX111" s="102"/>
      <c r="BA111" s="31"/>
      <c r="BB111" s="162"/>
      <c r="BC111" s="149"/>
      <c r="BD111" s="141"/>
      <c r="BE111" s="141"/>
      <c r="BF111" s="141"/>
      <c r="BG111" s="140"/>
      <c r="BH111" s="140"/>
    </row>
    <row r="112" spans="2:60" s="6" customFormat="1" ht="15">
      <c r="B112" s="952"/>
      <c r="E112" s="553"/>
      <c r="F112" s="513"/>
      <c r="G112" s="270"/>
      <c r="H112" s="270"/>
      <c r="I112" s="270"/>
      <c r="J112" s="270"/>
      <c r="K112" s="270"/>
      <c r="L112" s="270"/>
      <c r="M112" s="270"/>
      <c r="N112" s="270"/>
      <c r="O112" s="16"/>
      <c r="P112" s="17"/>
      <c r="Q112" s="158"/>
      <c r="R112" s="18"/>
      <c r="S112" s="18"/>
      <c r="T112" s="89"/>
      <c r="U112" s="108"/>
      <c r="V112" s="18"/>
      <c r="W112" s="10"/>
      <c r="X112" s="10"/>
      <c r="Y112" s="10"/>
      <c r="Z112" s="464"/>
      <c r="AA112" s="10"/>
      <c r="AB112" s="10"/>
      <c r="AC112" s="10"/>
      <c r="AD112" s="204"/>
      <c r="AE112" s="10"/>
      <c r="AF112" s="304"/>
      <c r="AG112" s="63"/>
      <c r="AH112" s="318"/>
      <c r="AI112" s="10"/>
      <c r="AJ112" s="10"/>
      <c r="AK112" s="10"/>
      <c r="AL112" s="339"/>
      <c r="AM112" s="63"/>
      <c r="AN112" s="10"/>
      <c r="AO112" s="10"/>
      <c r="AP112" s="63"/>
      <c r="AQ112" s="304"/>
      <c r="AR112" s="63"/>
      <c r="AS112" s="11"/>
      <c r="AT112" s="108"/>
      <c r="AU112" s="524"/>
      <c r="AV112" s="11"/>
      <c r="AW112" s="11"/>
      <c r="AX112" s="102"/>
      <c r="BA112" s="31"/>
      <c r="BB112" s="162"/>
      <c r="BC112" s="149"/>
      <c r="BD112" s="141"/>
      <c r="BE112" s="141"/>
      <c r="BF112" s="141"/>
      <c r="BG112" s="140"/>
      <c r="BH112" s="140"/>
    </row>
    <row r="113" spans="2:60" s="6" customFormat="1" ht="15">
      <c r="B113" s="952"/>
      <c r="E113" s="553"/>
      <c r="F113" s="513"/>
      <c r="G113" s="270"/>
      <c r="H113" s="270"/>
      <c r="I113" s="270"/>
      <c r="J113" s="270"/>
      <c r="K113" s="270"/>
      <c r="L113" s="270"/>
      <c r="M113" s="270"/>
      <c r="N113" s="270"/>
      <c r="O113" s="16"/>
      <c r="P113" s="17"/>
      <c r="Q113" s="158"/>
      <c r="R113" s="18"/>
      <c r="S113" s="18"/>
      <c r="T113" s="89"/>
      <c r="U113" s="108"/>
      <c r="V113" s="18"/>
      <c r="W113" s="10"/>
      <c r="X113" s="10"/>
      <c r="Y113" s="10"/>
      <c r="Z113" s="464"/>
      <c r="AA113" s="10"/>
      <c r="AB113" s="10"/>
      <c r="AC113" s="10"/>
      <c r="AD113" s="204"/>
      <c r="AE113" s="10"/>
      <c r="AF113" s="304"/>
      <c r="AG113" s="63"/>
      <c r="AH113" s="318"/>
      <c r="AI113" s="10"/>
      <c r="AJ113" s="10"/>
      <c r="AK113" s="10"/>
      <c r="AL113" s="339"/>
      <c r="AM113" s="63"/>
      <c r="AN113" s="10"/>
      <c r="AO113" s="10"/>
      <c r="AP113" s="63"/>
      <c r="AQ113" s="304"/>
      <c r="AR113" s="63"/>
      <c r="AS113" s="11"/>
      <c r="AT113" s="108"/>
      <c r="AU113" s="524"/>
      <c r="AV113" s="11"/>
      <c r="AW113" s="11"/>
      <c r="AX113" s="102"/>
      <c r="BA113" s="31"/>
      <c r="BB113" s="162"/>
      <c r="BC113" s="149"/>
      <c r="BD113" s="141"/>
      <c r="BE113" s="141"/>
      <c r="BF113" s="141"/>
      <c r="BG113" s="140"/>
      <c r="BH113" s="140"/>
    </row>
    <row r="114" spans="2:60" s="6" customFormat="1" ht="15">
      <c r="B114" s="952"/>
      <c r="E114" s="553"/>
      <c r="F114" s="513"/>
      <c r="G114" s="270"/>
      <c r="H114" s="270"/>
      <c r="I114" s="270"/>
      <c r="J114" s="270"/>
      <c r="K114" s="270"/>
      <c r="L114" s="270"/>
      <c r="M114" s="270"/>
      <c r="N114" s="270"/>
      <c r="O114" s="16"/>
      <c r="P114" s="17"/>
      <c r="Q114" s="158"/>
      <c r="R114" s="18"/>
      <c r="S114" s="18"/>
      <c r="T114" s="89"/>
      <c r="U114" s="108"/>
      <c r="V114" s="18"/>
      <c r="W114" s="10"/>
      <c r="X114" s="10"/>
      <c r="Y114" s="10"/>
      <c r="Z114" s="464"/>
      <c r="AA114" s="10"/>
      <c r="AB114" s="10"/>
      <c r="AC114" s="10"/>
      <c r="AD114" s="204"/>
      <c r="AE114" s="10"/>
      <c r="AF114" s="304"/>
      <c r="AG114" s="63"/>
      <c r="AH114" s="318"/>
      <c r="AI114" s="10"/>
      <c r="AJ114" s="10"/>
      <c r="AK114" s="10"/>
      <c r="AL114" s="339"/>
      <c r="AM114" s="63"/>
      <c r="AN114" s="10"/>
      <c r="AO114" s="10"/>
      <c r="AP114" s="63"/>
      <c r="AQ114" s="304"/>
      <c r="AR114" s="63"/>
      <c r="AS114" s="11"/>
      <c r="AT114" s="108"/>
      <c r="AU114" s="524"/>
      <c r="AV114" s="11"/>
      <c r="AW114" s="11"/>
      <c r="AX114" s="102"/>
      <c r="BA114" s="31"/>
      <c r="BB114" s="162"/>
      <c r="BC114" s="149"/>
      <c r="BD114" s="141"/>
      <c r="BE114" s="141"/>
      <c r="BF114" s="141"/>
      <c r="BG114" s="140"/>
      <c r="BH114" s="140"/>
    </row>
    <row r="115" spans="2:60" s="6" customFormat="1" ht="15">
      <c r="B115" s="952"/>
      <c r="E115" s="553"/>
      <c r="F115" s="513"/>
      <c r="G115" s="270"/>
      <c r="H115" s="270"/>
      <c r="I115" s="270"/>
      <c r="J115" s="270"/>
      <c r="K115" s="270"/>
      <c r="L115" s="270"/>
      <c r="M115" s="270"/>
      <c r="N115" s="270"/>
      <c r="O115" s="16"/>
      <c r="P115" s="17"/>
      <c r="Q115" s="158"/>
      <c r="R115" s="18"/>
      <c r="S115" s="18"/>
      <c r="T115" s="89"/>
      <c r="U115" s="108"/>
      <c r="V115" s="18"/>
      <c r="W115" s="10"/>
      <c r="X115" s="10"/>
      <c r="Y115" s="10"/>
      <c r="Z115" s="464"/>
      <c r="AA115" s="10"/>
      <c r="AB115" s="10"/>
      <c r="AC115" s="10"/>
      <c r="AD115" s="204"/>
      <c r="AE115" s="10"/>
      <c r="AF115" s="304"/>
      <c r="AG115" s="63"/>
      <c r="AH115" s="318"/>
      <c r="AI115" s="10"/>
      <c r="AJ115" s="10"/>
      <c r="AK115" s="10"/>
      <c r="AL115" s="339"/>
      <c r="AM115" s="63"/>
      <c r="AN115" s="10"/>
      <c r="AO115" s="10"/>
      <c r="AP115" s="63"/>
      <c r="AQ115" s="304"/>
      <c r="AR115" s="63"/>
      <c r="AS115" s="11"/>
      <c r="AT115" s="108"/>
      <c r="AU115" s="524"/>
      <c r="AV115" s="11"/>
      <c r="AW115" s="11"/>
      <c r="AX115" s="102"/>
      <c r="BA115" s="31"/>
      <c r="BB115" s="162"/>
      <c r="BC115" s="149"/>
      <c r="BD115" s="141"/>
      <c r="BE115" s="141"/>
      <c r="BF115" s="141"/>
      <c r="BG115" s="140"/>
      <c r="BH115" s="140"/>
    </row>
    <row r="116" spans="2:60" s="6" customFormat="1" ht="15">
      <c r="B116" s="952"/>
      <c r="E116" s="553"/>
      <c r="F116" s="513"/>
      <c r="G116" s="270"/>
      <c r="H116" s="270"/>
      <c r="I116" s="270"/>
      <c r="J116" s="270"/>
      <c r="K116" s="270"/>
      <c r="L116" s="270"/>
      <c r="M116" s="270"/>
      <c r="N116" s="270"/>
      <c r="O116" s="16"/>
      <c r="P116" s="17"/>
      <c r="Q116" s="158"/>
      <c r="R116" s="18"/>
      <c r="S116" s="18"/>
      <c r="T116" s="89"/>
      <c r="U116" s="108"/>
      <c r="V116" s="18"/>
      <c r="W116" s="10"/>
      <c r="X116" s="10"/>
      <c r="Y116" s="10"/>
      <c r="Z116" s="464"/>
      <c r="AA116" s="10"/>
      <c r="AB116" s="10"/>
      <c r="AC116" s="10"/>
      <c r="AD116" s="204"/>
      <c r="AE116" s="10"/>
      <c r="AF116" s="304"/>
      <c r="AG116" s="63"/>
      <c r="AH116" s="318"/>
      <c r="AI116" s="10"/>
      <c r="AJ116" s="10"/>
      <c r="AK116" s="10"/>
      <c r="AL116" s="339"/>
      <c r="AM116" s="63"/>
      <c r="AN116" s="10"/>
      <c r="AO116" s="10"/>
      <c r="AP116" s="63"/>
      <c r="AQ116" s="304"/>
      <c r="AR116" s="63"/>
      <c r="AS116" s="11"/>
      <c r="AT116" s="108"/>
      <c r="AU116" s="524"/>
      <c r="AV116" s="11"/>
      <c r="AW116" s="11"/>
      <c r="AX116" s="102"/>
      <c r="BA116" s="31"/>
      <c r="BB116" s="162"/>
      <c r="BC116" s="149"/>
      <c r="BD116" s="141"/>
      <c r="BE116" s="141"/>
      <c r="BF116" s="141"/>
      <c r="BG116" s="140"/>
      <c r="BH116" s="140"/>
    </row>
    <row r="117" spans="2:60" s="6" customFormat="1" ht="15">
      <c r="B117" s="952"/>
      <c r="E117" s="553"/>
      <c r="F117" s="513"/>
      <c r="G117" s="270"/>
      <c r="H117" s="270"/>
      <c r="I117" s="270"/>
      <c r="J117" s="270"/>
      <c r="K117" s="270"/>
      <c r="L117" s="270"/>
      <c r="M117" s="270"/>
      <c r="N117" s="270"/>
      <c r="O117" s="16"/>
      <c r="P117" s="17"/>
      <c r="Q117" s="158"/>
      <c r="R117" s="18"/>
      <c r="S117" s="18"/>
      <c r="T117" s="89"/>
      <c r="U117" s="108"/>
      <c r="V117" s="18"/>
      <c r="W117" s="10"/>
      <c r="X117" s="10"/>
      <c r="Y117" s="10"/>
      <c r="Z117" s="464"/>
      <c r="AA117" s="10"/>
      <c r="AB117" s="10"/>
      <c r="AC117" s="10"/>
      <c r="AD117" s="204"/>
      <c r="AE117" s="10"/>
      <c r="AF117" s="304"/>
      <c r="AG117" s="63"/>
      <c r="AH117" s="318"/>
      <c r="AI117" s="10"/>
      <c r="AJ117" s="10"/>
      <c r="AK117" s="10"/>
      <c r="AL117" s="339"/>
      <c r="AM117" s="63"/>
      <c r="AN117" s="10"/>
      <c r="AO117" s="10"/>
      <c r="AP117" s="63"/>
      <c r="AQ117" s="304"/>
      <c r="AR117" s="63"/>
      <c r="AS117" s="11"/>
      <c r="AT117" s="108"/>
      <c r="AU117" s="524"/>
      <c r="AV117" s="11"/>
      <c r="AW117" s="11"/>
      <c r="AX117" s="102"/>
      <c r="BA117" s="31"/>
      <c r="BB117" s="162"/>
      <c r="BC117" s="149"/>
      <c r="BD117" s="141"/>
      <c r="BE117" s="141"/>
      <c r="BF117" s="141"/>
      <c r="BG117" s="140"/>
      <c r="BH117" s="140"/>
    </row>
    <row r="118" spans="2:60" s="6" customFormat="1" ht="15">
      <c r="B118" s="952"/>
      <c r="E118" s="553"/>
      <c r="F118" s="513"/>
      <c r="G118" s="270"/>
      <c r="H118" s="270"/>
      <c r="I118" s="270"/>
      <c r="J118" s="270"/>
      <c r="K118" s="270"/>
      <c r="L118" s="270"/>
      <c r="M118" s="270"/>
      <c r="N118" s="270"/>
      <c r="O118" s="16"/>
      <c r="P118" s="17"/>
      <c r="Q118" s="158"/>
      <c r="R118" s="18"/>
      <c r="S118" s="18"/>
      <c r="T118" s="89"/>
      <c r="U118" s="108"/>
      <c r="V118" s="18"/>
      <c r="W118" s="10"/>
      <c r="X118" s="10"/>
      <c r="Y118" s="10"/>
      <c r="Z118" s="464"/>
      <c r="AA118" s="10"/>
      <c r="AB118" s="10"/>
      <c r="AC118" s="10"/>
      <c r="AD118" s="204"/>
      <c r="AE118" s="10"/>
      <c r="AF118" s="304"/>
      <c r="AG118" s="63"/>
      <c r="AH118" s="318"/>
      <c r="AI118" s="10"/>
      <c r="AJ118" s="10"/>
      <c r="AK118" s="10"/>
      <c r="AL118" s="339"/>
      <c r="AM118" s="63"/>
      <c r="AN118" s="10"/>
      <c r="AO118" s="10"/>
      <c r="AP118" s="63"/>
      <c r="AQ118" s="304"/>
      <c r="AR118" s="63"/>
      <c r="AS118" s="11"/>
      <c r="AT118" s="108"/>
      <c r="AU118" s="524"/>
      <c r="AV118" s="11"/>
      <c r="AW118" s="11"/>
      <c r="AX118" s="102"/>
      <c r="BA118" s="31"/>
      <c r="BB118" s="162"/>
      <c r="BC118" s="149"/>
      <c r="BD118" s="141"/>
      <c r="BE118" s="141"/>
      <c r="BF118" s="141"/>
      <c r="BG118" s="140"/>
      <c r="BH118" s="140"/>
    </row>
    <row r="119" spans="2:60" s="6" customFormat="1" ht="15">
      <c r="B119" s="952"/>
      <c r="E119" s="553"/>
      <c r="F119" s="513"/>
      <c r="G119" s="270"/>
      <c r="H119" s="270"/>
      <c r="I119" s="270"/>
      <c r="J119" s="270"/>
      <c r="K119" s="270"/>
      <c r="L119" s="270"/>
      <c r="M119" s="270"/>
      <c r="N119" s="270"/>
      <c r="O119" s="16"/>
      <c r="P119" s="17"/>
      <c r="Q119" s="158"/>
      <c r="R119" s="18"/>
      <c r="S119" s="18"/>
      <c r="T119" s="89"/>
      <c r="U119" s="108"/>
      <c r="V119" s="18"/>
      <c r="W119" s="10"/>
      <c r="X119" s="10"/>
      <c r="Y119" s="10"/>
      <c r="Z119" s="464"/>
      <c r="AA119" s="10"/>
      <c r="AB119" s="10"/>
      <c r="AC119" s="10"/>
      <c r="AD119" s="204"/>
      <c r="AE119" s="10"/>
      <c r="AF119" s="304"/>
      <c r="AG119" s="63"/>
      <c r="AH119" s="318"/>
      <c r="AI119" s="10"/>
      <c r="AJ119" s="10"/>
      <c r="AK119" s="10"/>
      <c r="AL119" s="339"/>
      <c r="AM119" s="63"/>
      <c r="AN119" s="10"/>
      <c r="AO119" s="10"/>
      <c r="AP119" s="63"/>
      <c r="AQ119" s="304"/>
      <c r="AR119" s="63"/>
      <c r="AS119" s="11"/>
      <c r="AT119" s="108"/>
      <c r="AU119" s="524"/>
      <c r="AV119" s="11"/>
      <c r="AW119" s="11"/>
      <c r="AX119" s="102"/>
      <c r="BA119" s="31"/>
      <c r="BB119" s="162"/>
      <c r="BC119" s="149"/>
      <c r="BD119" s="141"/>
      <c r="BE119" s="141"/>
      <c r="BF119" s="141"/>
      <c r="BG119" s="140"/>
      <c r="BH119" s="140"/>
    </row>
    <row r="120" spans="2:60" s="6" customFormat="1" ht="15">
      <c r="B120" s="952"/>
      <c r="E120" s="553"/>
      <c r="F120" s="513"/>
      <c r="G120" s="270"/>
      <c r="H120" s="270"/>
      <c r="I120" s="270"/>
      <c r="J120" s="270"/>
      <c r="K120" s="270"/>
      <c r="L120" s="270"/>
      <c r="M120" s="270"/>
      <c r="N120" s="270"/>
      <c r="O120" s="16"/>
      <c r="P120" s="17"/>
      <c r="Q120" s="158"/>
      <c r="R120" s="18"/>
      <c r="S120" s="18"/>
      <c r="T120" s="89"/>
      <c r="U120" s="108"/>
      <c r="V120" s="18"/>
      <c r="W120" s="10"/>
      <c r="X120" s="10"/>
      <c r="Y120" s="10"/>
      <c r="Z120" s="464"/>
      <c r="AA120" s="10"/>
      <c r="AB120" s="10"/>
      <c r="AC120" s="10"/>
      <c r="AD120" s="204"/>
      <c r="AE120" s="10"/>
      <c r="AF120" s="304"/>
      <c r="AG120" s="63"/>
      <c r="AH120" s="318"/>
      <c r="AI120" s="10"/>
      <c r="AJ120" s="10"/>
      <c r="AK120" s="10"/>
      <c r="AL120" s="339"/>
      <c r="AM120" s="63"/>
      <c r="AN120" s="10"/>
      <c r="AO120" s="10"/>
      <c r="AP120" s="63"/>
      <c r="AQ120" s="304"/>
      <c r="AR120" s="63"/>
      <c r="AS120" s="11"/>
      <c r="AT120" s="108"/>
      <c r="AU120" s="524"/>
      <c r="AV120" s="11"/>
      <c r="AW120" s="11"/>
      <c r="AX120" s="102"/>
      <c r="BA120" s="31"/>
      <c r="BB120" s="162"/>
      <c r="BC120" s="149"/>
      <c r="BD120" s="141"/>
      <c r="BE120" s="141"/>
      <c r="BF120" s="141"/>
      <c r="BG120" s="140"/>
      <c r="BH120" s="140"/>
    </row>
    <row r="121" spans="2:60" s="6" customFormat="1" ht="15">
      <c r="B121" s="952"/>
      <c r="E121" s="553"/>
      <c r="F121" s="513"/>
      <c r="G121" s="270"/>
      <c r="H121" s="270"/>
      <c r="I121" s="270"/>
      <c r="J121" s="270"/>
      <c r="K121" s="270"/>
      <c r="L121" s="270"/>
      <c r="M121" s="270"/>
      <c r="N121" s="270"/>
      <c r="O121" s="16"/>
      <c r="P121" s="17"/>
      <c r="Q121" s="158"/>
      <c r="R121" s="18"/>
      <c r="S121" s="18"/>
      <c r="T121" s="89"/>
      <c r="U121" s="108"/>
      <c r="V121" s="18"/>
      <c r="W121" s="10"/>
      <c r="X121" s="10"/>
      <c r="Y121" s="10"/>
      <c r="Z121" s="464"/>
      <c r="AA121" s="10"/>
      <c r="AB121" s="10"/>
      <c r="AC121" s="10"/>
      <c r="AD121" s="204"/>
      <c r="AE121" s="10"/>
      <c r="AF121" s="304"/>
      <c r="AG121" s="63"/>
      <c r="AH121" s="318"/>
      <c r="AI121" s="10"/>
      <c r="AJ121" s="10"/>
      <c r="AK121" s="10"/>
      <c r="AL121" s="339"/>
      <c r="AM121" s="63"/>
      <c r="AN121" s="10"/>
      <c r="AO121" s="10"/>
      <c r="AP121" s="63"/>
      <c r="AQ121" s="304"/>
      <c r="AR121" s="63"/>
      <c r="AS121" s="11"/>
      <c r="AT121" s="108"/>
      <c r="AU121" s="524"/>
      <c r="AV121" s="11"/>
      <c r="AW121" s="11"/>
      <c r="AX121" s="102"/>
      <c r="BA121" s="31"/>
      <c r="BB121" s="162"/>
      <c r="BC121" s="149"/>
      <c r="BD121" s="141"/>
      <c r="BE121" s="141"/>
      <c r="BF121" s="141"/>
      <c r="BG121" s="140"/>
      <c r="BH121" s="140"/>
    </row>
    <row r="122" spans="2:60" s="6" customFormat="1" ht="15">
      <c r="B122" s="952"/>
      <c r="E122" s="553"/>
      <c r="F122" s="513"/>
      <c r="G122" s="270"/>
      <c r="H122" s="270"/>
      <c r="I122" s="270"/>
      <c r="J122" s="270"/>
      <c r="K122" s="270"/>
      <c r="L122" s="270"/>
      <c r="M122" s="270"/>
      <c r="N122" s="270"/>
      <c r="O122" s="16"/>
      <c r="P122" s="17"/>
      <c r="Q122" s="158"/>
      <c r="R122" s="18"/>
      <c r="S122" s="18"/>
      <c r="T122" s="89"/>
      <c r="U122" s="108"/>
      <c r="V122" s="18"/>
      <c r="W122" s="10"/>
      <c r="X122" s="10"/>
      <c r="Y122" s="10"/>
      <c r="Z122" s="464"/>
      <c r="AA122" s="10"/>
      <c r="AB122" s="10"/>
      <c r="AC122" s="10"/>
      <c r="AD122" s="204"/>
      <c r="AE122" s="10"/>
      <c r="AF122" s="304"/>
      <c r="AG122" s="63"/>
      <c r="AH122" s="318"/>
      <c r="AI122" s="10"/>
      <c r="AJ122" s="10"/>
      <c r="AK122" s="10"/>
      <c r="AL122" s="339"/>
      <c r="AM122" s="63"/>
      <c r="AN122" s="10"/>
      <c r="AO122" s="10"/>
      <c r="AP122" s="63"/>
      <c r="AQ122" s="304"/>
      <c r="AR122" s="63"/>
      <c r="AS122" s="11"/>
      <c r="AT122" s="108"/>
      <c r="AU122" s="524"/>
      <c r="AV122" s="11"/>
      <c r="AW122" s="11"/>
      <c r="AX122" s="102"/>
      <c r="BA122" s="31"/>
      <c r="BB122" s="162"/>
      <c r="BC122" s="149"/>
      <c r="BD122" s="141"/>
      <c r="BE122" s="141"/>
      <c r="BF122" s="141"/>
      <c r="BG122" s="140"/>
      <c r="BH122" s="140"/>
    </row>
    <row r="123" spans="2:60" s="6" customFormat="1" ht="15">
      <c r="B123" s="952"/>
      <c r="E123" s="553"/>
      <c r="F123" s="513"/>
      <c r="G123" s="270"/>
      <c r="H123" s="270"/>
      <c r="I123" s="270"/>
      <c r="J123" s="270"/>
      <c r="K123" s="270"/>
      <c r="L123" s="270"/>
      <c r="M123" s="270"/>
      <c r="N123" s="270"/>
      <c r="O123" s="16"/>
      <c r="P123" s="17"/>
      <c r="Q123" s="158"/>
      <c r="R123" s="18"/>
      <c r="S123" s="18"/>
      <c r="T123" s="89"/>
      <c r="U123" s="108"/>
      <c r="V123" s="18"/>
      <c r="W123" s="10"/>
      <c r="X123" s="10"/>
      <c r="Y123" s="10"/>
      <c r="Z123" s="464"/>
      <c r="AA123" s="10"/>
      <c r="AB123" s="10"/>
      <c r="AC123" s="10"/>
      <c r="AD123" s="204"/>
      <c r="AE123" s="10"/>
      <c r="AF123" s="304"/>
      <c r="AG123" s="63"/>
      <c r="AH123" s="318"/>
      <c r="AI123" s="10"/>
      <c r="AJ123" s="10"/>
      <c r="AK123" s="10"/>
      <c r="AL123" s="339"/>
      <c r="AM123" s="63"/>
      <c r="AN123" s="10"/>
      <c r="AO123" s="10"/>
      <c r="AP123" s="63"/>
      <c r="AQ123" s="304"/>
      <c r="AR123" s="63"/>
      <c r="AS123" s="11"/>
      <c r="AT123" s="108"/>
      <c r="AU123" s="524"/>
      <c r="AV123" s="11"/>
      <c r="AW123" s="11"/>
      <c r="AX123" s="102"/>
      <c r="BA123" s="31"/>
      <c r="BB123" s="162"/>
      <c r="BC123" s="149"/>
      <c r="BD123" s="141"/>
      <c r="BE123" s="141"/>
      <c r="BF123" s="141"/>
      <c r="BG123" s="140"/>
      <c r="BH123" s="140"/>
    </row>
    <row r="124" spans="2:60" s="6" customFormat="1" ht="15">
      <c r="B124" s="952"/>
      <c r="E124" s="553"/>
      <c r="F124" s="513"/>
      <c r="G124" s="270"/>
      <c r="H124" s="270"/>
      <c r="I124" s="270"/>
      <c r="J124" s="270"/>
      <c r="K124" s="270"/>
      <c r="L124" s="270"/>
      <c r="M124" s="270"/>
      <c r="N124" s="270"/>
      <c r="O124" s="16"/>
      <c r="P124" s="17"/>
      <c r="Q124" s="158"/>
      <c r="R124" s="18"/>
      <c r="S124" s="18"/>
      <c r="T124" s="89"/>
      <c r="U124" s="108"/>
      <c r="V124" s="18"/>
      <c r="W124" s="10"/>
      <c r="X124" s="10"/>
      <c r="Y124" s="10"/>
      <c r="Z124" s="464"/>
      <c r="AA124" s="10"/>
      <c r="AB124" s="10"/>
      <c r="AC124" s="10"/>
      <c r="AD124" s="204"/>
      <c r="AE124" s="10"/>
      <c r="AF124" s="304"/>
      <c r="AG124" s="63"/>
      <c r="AH124" s="318"/>
      <c r="AI124" s="10"/>
      <c r="AJ124" s="10"/>
      <c r="AK124" s="10"/>
      <c r="AL124" s="339"/>
      <c r="AM124" s="63"/>
      <c r="AN124" s="10"/>
      <c r="AO124" s="10"/>
      <c r="AP124" s="63"/>
      <c r="AQ124" s="304"/>
      <c r="AR124" s="63"/>
      <c r="AS124" s="11"/>
      <c r="AT124" s="108"/>
      <c r="AU124" s="524"/>
      <c r="AV124" s="11"/>
      <c r="AW124" s="11"/>
      <c r="AX124" s="102"/>
      <c r="BA124" s="31"/>
      <c r="BB124" s="162"/>
      <c r="BC124" s="149"/>
      <c r="BD124" s="141"/>
      <c r="BE124" s="141"/>
      <c r="BF124" s="141"/>
      <c r="BG124" s="140"/>
      <c r="BH124" s="140"/>
    </row>
    <row r="125" spans="2:60" s="6" customFormat="1" ht="15">
      <c r="B125" s="952"/>
      <c r="E125" s="553"/>
      <c r="F125" s="513"/>
      <c r="G125" s="270"/>
      <c r="H125" s="270"/>
      <c r="I125" s="270"/>
      <c r="J125" s="270"/>
      <c r="K125" s="270"/>
      <c r="L125" s="270"/>
      <c r="M125" s="270"/>
      <c r="N125" s="270"/>
      <c r="O125" s="16"/>
      <c r="P125" s="17"/>
      <c r="Q125" s="158"/>
      <c r="R125" s="18"/>
      <c r="S125" s="18"/>
      <c r="T125" s="89"/>
      <c r="U125" s="108"/>
      <c r="V125" s="18"/>
      <c r="W125" s="10"/>
      <c r="X125" s="10"/>
      <c r="Y125" s="10"/>
      <c r="Z125" s="464"/>
      <c r="AA125" s="10"/>
      <c r="AB125" s="10"/>
      <c r="AC125" s="10"/>
      <c r="AD125" s="204"/>
      <c r="AE125" s="10"/>
      <c r="AF125" s="304"/>
      <c r="AG125" s="63"/>
      <c r="AH125" s="318"/>
      <c r="AI125" s="10"/>
      <c r="AJ125" s="10"/>
      <c r="AK125" s="10"/>
      <c r="AL125" s="339"/>
      <c r="AM125" s="63"/>
      <c r="AN125" s="10"/>
      <c r="AO125" s="10"/>
      <c r="AP125" s="63"/>
      <c r="AQ125" s="304"/>
      <c r="AR125" s="63"/>
      <c r="AS125" s="11"/>
      <c r="AT125" s="108"/>
      <c r="AU125" s="524"/>
      <c r="AV125" s="11"/>
      <c r="AW125" s="11"/>
      <c r="AX125" s="102"/>
      <c r="BA125" s="31"/>
      <c r="BB125" s="162"/>
      <c r="BC125" s="149"/>
      <c r="BD125" s="141"/>
      <c r="BE125" s="141"/>
      <c r="BF125" s="141"/>
      <c r="BG125" s="140"/>
      <c r="BH125" s="140"/>
    </row>
    <row r="126" spans="2:60" s="6" customFormat="1" ht="15">
      <c r="B126" s="952"/>
      <c r="E126" s="553"/>
      <c r="F126" s="513"/>
      <c r="G126" s="270"/>
      <c r="H126" s="270"/>
      <c r="I126" s="270"/>
      <c r="J126" s="270"/>
      <c r="K126" s="270"/>
      <c r="L126" s="270"/>
      <c r="M126" s="270"/>
      <c r="N126" s="270"/>
      <c r="O126" s="16"/>
      <c r="P126" s="17"/>
      <c r="Q126" s="158"/>
      <c r="R126" s="18"/>
      <c r="S126" s="18"/>
      <c r="T126" s="89"/>
      <c r="U126" s="108"/>
      <c r="V126" s="18"/>
      <c r="W126" s="10"/>
      <c r="X126" s="10"/>
      <c r="Y126" s="10"/>
      <c r="Z126" s="464"/>
      <c r="AA126" s="10"/>
      <c r="AB126" s="10"/>
      <c r="AC126" s="10"/>
      <c r="AD126" s="204"/>
      <c r="AE126" s="10"/>
      <c r="AF126" s="304"/>
      <c r="AG126" s="63"/>
      <c r="AH126" s="318"/>
      <c r="AI126" s="10"/>
      <c r="AJ126" s="10"/>
      <c r="AK126" s="10"/>
      <c r="AL126" s="339"/>
      <c r="AM126" s="63"/>
      <c r="AN126" s="10"/>
      <c r="AO126" s="10"/>
      <c r="AP126" s="63"/>
      <c r="AQ126" s="304"/>
      <c r="AR126" s="63"/>
      <c r="AS126" s="11"/>
      <c r="AT126" s="108"/>
      <c r="AU126" s="524"/>
      <c r="AV126" s="11"/>
      <c r="AW126" s="11"/>
      <c r="AX126" s="102"/>
      <c r="BA126" s="31"/>
      <c r="BB126" s="162"/>
      <c r="BC126" s="149"/>
      <c r="BD126" s="141"/>
      <c r="BE126" s="141"/>
      <c r="BF126" s="141"/>
      <c r="BG126" s="140"/>
      <c r="BH126" s="140"/>
    </row>
    <row r="127" spans="2:60" s="6" customFormat="1" ht="15">
      <c r="B127" s="952"/>
      <c r="E127" s="553"/>
      <c r="F127" s="513"/>
      <c r="G127" s="270"/>
      <c r="H127" s="270"/>
      <c r="I127" s="270"/>
      <c r="J127" s="270"/>
      <c r="K127" s="270"/>
      <c r="L127" s="270"/>
      <c r="M127" s="270"/>
      <c r="N127" s="270"/>
      <c r="O127" s="16"/>
      <c r="P127" s="17"/>
      <c r="Q127" s="158"/>
      <c r="R127" s="18"/>
      <c r="S127" s="18"/>
      <c r="T127" s="89"/>
      <c r="U127" s="108"/>
      <c r="V127" s="18"/>
      <c r="W127" s="10"/>
      <c r="X127" s="10"/>
      <c r="Y127" s="10"/>
      <c r="Z127" s="464"/>
      <c r="AA127" s="10"/>
      <c r="AB127" s="10"/>
      <c r="AC127" s="10"/>
      <c r="AD127" s="204"/>
      <c r="AE127" s="10"/>
      <c r="AF127" s="304"/>
      <c r="AG127" s="63"/>
      <c r="AH127" s="318"/>
      <c r="AI127" s="10"/>
      <c r="AJ127" s="10"/>
      <c r="AK127" s="10"/>
      <c r="AL127" s="339"/>
      <c r="AM127" s="63"/>
      <c r="AN127" s="10"/>
      <c r="AO127" s="10"/>
      <c r="AP127" s="63"/>
      <c r="AQ127" s="304"/>
      <c r="AR127" s="63"/>
      <c r="AS127" s="11"/>
      <c r="AT127" s="108"/>
      <c r="AU127" s="524"/>
      <c r="AV127" s="11"/>
      <c r="AW127" s="11"/>
      <c r="AX127" s="102"/>
      <c r="BA127" s="31"/>
      <c r="BB127" s="162"/>
      <c r="BC127" s="149"/>
      <c r="BD127" s="141"/>
      <c r="BE127" s="141"/>
      <c r="BF127" s="141"/>
      <c r="BG127" s="140"/>
      <c r="BH127" s="140"/>
    </row>
    <row r="128" spans="2:60" s="6" customFormat="1" ht="15">
      <c r="B128" s="952"/>
      <c r="E128" s="553"/>
      <c r="F128" s="513"/>
      <c r="G128" s="270"/>
      <c r="H128" s="270"/>
      <c r="I128" s="270"/>
      <c r="J128" s="270"/>
      <c r="K128" s="270"/>
      <c r="L128" s="270"/>
      <c r="M128" s="270"/>
      <c r="N128" s="270"/>
      <c r="O128" s="16"/>
      <c r="P128" s="17"/>
      <c r="Q128" s="158"/>
      <c r="R128" s="18"/>
      <c r="S128" s="18"/>
      <c r="T128" s="89"/>
      <c r="U128" s="108"/>
      <c r="V128" s="18"/>
      <c r="W128" s="10"/>
      <c r="X128" s="10"/>
      <c r="Y128" s="10"/>
      <c r="Z128" s="464"/>
      <c r="AA128" s="10"/>
      <c r="AB128" s="10"/>
      <c r="AC128" s="10"/>
      <c r="AD128" s="204"/>
      <c r="AE128" s="10"/>
      <c r="AF128" s="304"/>
      <c r="AG128" s="63"/>
      <c r="AH128" s="318"/>
      <c r="AI128" s="10"/>
      <c r="AJ128" s="10"/>
      <c r="AK128" s="10"/>
      <c r="AL128" s="339"/>
      <c r="AM128" s="63"/>
      <c r="AN128" s="10"/>
      <c r="AO128" s="10"/>
      <c r="AP128" s="63"/>
      <c r="AQ128" s="304"/>
      <c r="AR128" s="63"/>
      <c r="AS128" s="11"/>
      <c r="AT128" s="108"/>
      <c r="AU128" s="524"/>
      <c r="AV128" s="11"/>
      <c r="AW128" s="11"/>
      <c r="AX128" s="102"/>
      <c r="BA128" s="31"/>
      <c r="BB128" s="162"/>
      <c r="BC128" s="149"/>
      <c r="BD128" s="141"/>
      <c r="BE128" s="141"/>
      <c r="BF128" s="141"/>
      <c r="BG128" s="140"/>
      <c r="BH128" s="140"/>
    </row>
    <row r="129" spans="2:60" s="6" customFormat="1" ht="15">
      <c r="B129" s="952"/>
      <c r="E129" s="553"/>
      <c r="F129" s="513"/>
      <c r="G129" s="270"/>
      <c r="H129" s="270"/>
      <c r="I129" s="270"/>
      <c r="J129" s="270"/>
      <c r="K129" s="270"/>
      <c r="L129" s="270"/>
      <c r="M129" s="270"/>
      <c r="N129" s="270"/>
      <c r="O129" s="16"/>
      <c r="P129" s="17"/>
      <c r="Q129" s="158"/>
      <c r="R129" s="18"/>
      <c r="S129" s="18"/>
      <c r="T129" s="89"/>
      <c r="U129" s="108"/>
      <c r="V129" s="18"/>
      <c r="W129" s="10"/>
      <c r="X129" s="10"/>
      <c r="Y129" s="10"/>
      <c r="Z129" s="464"/>
      <c r="AA129" s="10"/>
      <c r="AB129" s="10"/>
      <c r="AC129" s="10"/>
      <c r="AD129" s="204"/>
      <c r="AE129" s="10"/>
      <c r="AF129" s="304"/>
      <c r="AG129" s="63"/>
      <c r="AH129" s="318"/>
      <c r="AI129" s="10"/>
      <c r="AJ129" s="10"/>
      <c r="AK129" s="10"/>
      <c r="AL129" s="339"/>
      <c r="AM129" s="63"/>
      <c r="AN129" s="10"/>
      <c r="AO129" s="10"/>
      <c r="AP129" s="63"/>
      <c r="AQ129" s="304"/>
      <c r="AR129" s="63"/>
      <c r="AS129" s="11"/>
      <c r="AT129" s="108"/>
      <c r="AU129" s="524"/>
      <c r="AV129" s="11"/>
      <c r="AW129" s="11"/>
      <c r="AX129" s="102"/>
      <c r="BA129" s="31"/>
      <c r="BB129" s="162"/>
      <c r="BC129" s="149"/>
      <c r="BD129" s="141"/>
      <c r="BE129" s="141"/>
      <c r="BF129" s="141"/>
      <c r="BG129" s="140"/>
      <c r="BH129" s="140"/>
    </row>
    <row r="130" spans="2:60" s="6" customFormat="1" ht="15">
      <c r="B130" s="952"/>
      <c r="E130" s="553"/>
      <c r="F130" s="513"/>
      <c r="G130" s="270"/>
      <c r="H130" s="270"/>
      <c r="I130" s="270"/>
      <c r="J130" s="270"/>
      <c r="K130" s="270"/>
      <c r="L130" s="270"/>
      <c r="M130" s="270"/>
      <c r="N130" s="270"/>
      <c r="O130" s="16"/>
      <c r="P130" s="17"/>
      <c r="Q130" s="158"/>
      <c r="R130" s="18"/>
      <c r="S130" s="18"/>
      <c r="T130" s="89"/>
      <c r="U130" s="108"/>
      <c r="V130" s="18"/>
      <c r="W130" s="10"/>
      <c r="X130" s="10"/>
      <c r="Y130" s="10"/>
      <c r="Z130" s="464"/>
      <c r="AA130" s="10"/>
      <c r="AB130" s="10"/>
      <c r="AC130" s="10"/>
      <c r="AD130" s="204"/>
      <c r="AE130" s="10"/>
      <c r="AF130" s="304"/>
      <c r="AG130" s="63"/>
      <c r="AH130" s="318"/>
      <c r="AI130" s="10"/>
      <c r="AJ130" s="10"/>
      <c r="AK130" s="10"/>
      <c r="AL130" s="339"/>
      <c r="AM130" s="63"/>
      <c r="AN130" s="10"/>
      <c r="AO130" s="10"/>
      <c r="AP130" s="63"/>
      <c r="AQ130" s="304"/>
      <c r="AR130" s="63"/>
      <c r="AS130" s="11"/>
      <c r="AT130" s="108"/>
      <c r="AU130" s="524"/>
      <c r="AV130" s="11"/>
      <c r="AW130" s="11"/>
      <c r="AX130" s="102"/>
      <c r="BA130" s="31"/>
      <c r="BB130" s="162"/>
      <c r="BC130" s="149"/>
      <c r="BD130" s="141"/>
      <c r="BE130" s="141"/>
      <c r="BF130" s="141"/>
      <c r="BG130" s="140"/>
      <c r="BH130" s="140"/>
    </row>
    <row r="131" spans="2:60" s="6" customFormat="1" ht="15">
      <c r="B131" s="952"/>
      <c r="E131" s="553"/>
      <c r="F131" s="513"/>
      <c r="G131" s="270"/>
      <c r="H131" s="270"/>
      <c r="I131" s="270"/>
      <c r="J131" s="270"/>
      <c r="K131" s="270"/>
      <c r="L131" s="270"/>
      <c r="M131" s="270"/>
      <c r="N131" s="270"/>
      <c r="O131" s="16"/>
      <c r="P131" s="17"/>
      <c r="Q131" s="158"/>
      <c r="R131" s="18"/>
      <c r="S131" s="18"/>
      <c r="T131" s="89"/>
      <c r="U131" s="108"/>
      <c r="V131" s="18"/>
      <c r="W131" s="10"/>
      <c r="X131" s="10"/>
      <c r="Y131" s="10"/>
      <c r="Z131" s="464"/>
      <c r="AA131" s="10"/>
      <c r="AB131" s="10"/>
      <c r="AC131" s="10"/>
      <c r="AD131" s="204"/>
      <c r="AE131" s="10"/>
      <c r="AF131" s="304"/>
      <c r="AG131" s="63"/>
      <c r="AH131" s="318"/>
      <c r="AI131" s="10"/>
      <c r="AJ131" s="10"/>
      <c r="AK131" s="10"/>
      <c r="AL131" s="339"/>
      <c r="AM131" s="63"/>
      <c r="AN131" s="10"/>
      <c r="AO131" s="10"/>
      <c r="AP131" s="63"/>
      <c r="AQ131" s="304"/>
      <c r="AR131" s="63"/>
      <c r="AS131" s="11"/>
      <c r="AT131" s="108"/>
      <c r="AU131" s="524"/>
      <c r="AV131" s="11"/>
      <c r="AW131" s="11"/>
      <c r="AX131" s="102"/>
      <c r="BA131" s="31"/>
      <c r="BB131" s="162"/>
      <c r="BC131" s="149"/>
      <c r="BD131" s="141"/>
      <c r="BE131" s="141"/>
      <c r="BF131" s="141"/>
      <c r="BG131" s="140"/>
      <c r="BH131" s="140"/>
    </row>
    <row r="132" spans="2:60" s="6" customFormat="1" ht="15">
      <c r="B132" s="952"/>
      <c r="E132" s="553"/>
      <c r="F132" s="513"/>
      <c r="G132" s="270"/>
      <c r="H132" s="270"/>
      <c r="I132" s="270"/>
      <c r="J132" s="270"/>
      <c r="K132" s="270"/>
      <c r="L132" s="270"/>
      <c r="M132" s="270"/>
      <c r="N132" s="270"/>
      <c r="O132" s="16"/>
      <c r="P132" s="17"/>
      <c r="Q132" s="158"/>
      <c r="R132" s="18"/>
      <c r="S132" s="18"/>
      <c r="T132" s="89"/>
      <c r="U132" s="108"/>
      <c r="V132" s="18"/>
      <c r="W132" s="10"/>
      <c r="X132" s="10"/>
      <c r="Y132" s="10"/>
      <c r="Z132" s="464"/>
      <c r="AA132" s="10"/>
      <c r="AB132" s="10"/>
      <c r="AC132" s="10"/>
      <c r="AD132" s="204"/>
      <c r="AE132" s="10"/>
      <c r="AF132" s="304"/>
      <c r="AG132" s="63"/>
      <c r="AH132" s="318"/>
      <c r="AI132" s="10"/>
      <c r="AJ132" s="10"/>
      <c r="AK132" s="10"/>
      <c r="AL132" s="339"/>
      <c r="AM132" s="63"/>
      <c r="AN132" s="10"/>
      <c r="AO132" s="10"/>
      <c r="AP132" s="63"/>
      <c r="AQ132" s="304"/>
      <c r="AR132" s="63"/>
      <c r="AS132" s="11"/>
      <c r="AT132" s="108"/>
      <c r="AU132" s="524"/>
      <c r="AV132" s="11"/>
      <c r="AW132" s="11"/>
      <c r="AX132" s="102"/>
      <c r="BA132" s="31"/>
      <c r="BB132" s="162"/>
      <c r="BC132" s="149"/>
      <c r="BD132" s="141"/>
      <c r="BE132" s="141"/>
      <c r="BF132" s="141"/>
      <c r="BG132" s="140"/>
      <c r="BH132" s="140"/>
    </row>
    <row r="133" spans="2:60" s="6" customFormat="1" ht="15">
      <c r="B133" s="952"/>
      <c r="E133" s="553"/>
      <c r="F133" s="513"/>
      <c r="G133" s="270"/>
      <c r="H133" s="270"/>
      <c r="I133" s="270"/>
      <c r="J133" s="270"/>
      <c r="K133" s="270"/>
      <c r="L133" s="270"/>
      <c r="M133" s="270"/>
      <c r="N133" s="270"/>
      <c r="O133" s="16"/>
      <c r="P133" s="17"/>
      <c r="Q133" s="158"/>
      <c r="R133" s="18"/>
      <c r="S133" s="18"/>
      <c r="T133" s="89"/>
      <c r="U133" s="108"/>
      <c r="V133" s="18"/>
      <c r="W133" s="10"/>
      <c r="X133" s="10"/>
      <c r="Y133" s="10"/>
      <c r="Z133" s="464"/>
      <c r="AA133" s="10"/>
      <c r="AB133" s="10"/>
      <c r="AC133" s="10"/>
      <c r="AD133" s="204"/>
      <c r="AE133" s="10"/>
      <c r="AF133" s="304"/>
      <c r="AG133" s="63"/>
      <c r="AH133" s="318"/>
      <c r="AI133" s="10"/>
      <c r="AJ133" s="10"/>
      <c r="AK133" s="10"/>
      <c r="AL133" s="339"/>
      <c r="AM133" s="63"/>
      <c r="AN133" s="10"/>
      <c r="AO133" s="10"/>
      <c r="AP133" s="63"/>
      <c r="AQ133" s="304"/>
      <c r="AR133" s="63"/>
      <c r="AS133" s="11"/>
      <c r="AT133" s="108"/>
      <c r="AU133" s="524"/>
      <c r="AV133" s="11"/>
      <c r="AW133" s="11"/>
      <c r="AX133" s="102"/>
      <c r="BA133" s="31"/>
      <c r="BB133" s="162"/>
      <c r="BC133" s="149"/>
      <c r="BD133" s="141"/>
      <c r="BE133" s="141"/>
      <c r="BF133" s="141"/>
      <c r="BG133" s="140"/>
      <c r="BH133" s="140"/>
    </row>
    <row r="134" spans="2:60" s="6" customFormat="1" ht="15">
      <c r="B134" s="952"/>
      <c r="E134" s="553"/>
      <c r="F134" s="513"/>
      <c r="G134" s="270"/>
      <c r="H134" s="270"/>
      <c r="I134" s="270"/>
      <c r="J134" s="270"/>
      <c r="K134" s="270"/>
      <c r="L134" s="270"/>
      <c r="M134" s="270"/>
      <c r="N134" s="270"/>
      <c r="O134" s="16"/>
      <c r="P134" s="17"/>
      <c r="Q134" s="158"/>
      <c r="R134" s="18"/>
      <c r="S134" s="18"/>
      <c r="T134" s="89"/>
      <c r="U134" s="108"/>
      <c r="V134" s="18"/>
      <c r="W134" s="10"/>
      <c r="X134" s="10"/>
      <c r="Y134" s="10"/>
      <c r="Z134" s="464"/>
      <c r="AA134" s="10"/>
      <c r="AB134" s="10"/>
      <c r="AC134" s="10"/>
      <c r="AD134" s="204"/>
      <c r="AE134" s="10"/>
      <c r="AF134" s="304"/>
      <c r="AG134" s="63"/>
      <c r="AH134" s="318"/>
      <c r="AI134" s="10"/>
      <c r="AJ134" s="10"/>
      <c r="AK134" s="10"/>
      <c r="AL134" s="339"/>
      <c r="AM134" s="63"/>
      <c r="AN134" s="10"/>
      <c r="AO134" s="10"/>
      <c r="AP134" s="63"/>
      <c r="AQ134" s="304"/>
      <c r="AR134" s="63"/>
      <c r="AS134" s="11"/>
      <c r="AT134" s="108"/>
      <c r="AU134" s="524"/>
      <c r="AV134" s="11"/>
      <c r="AW134" s="11"/>
      <c r="AX134" s="102"/>
      <c r="BA134" s="31"/>
      <c r="BB134" s="162"/>
      <c r="BC134" s="149"/>
      <c r="BD134" s="141"/>
      <c r="BE134" s="141"/>
      <c r="BF134" s="141"/>
      <c r="BG134" s="140"/>
      <c r="BH134" s="140"/>
    </row>
    <row r="135" spans="2:60" s="6" customFormat="1" ht="15">
      <c r="B135" s="952"/>
      <c r="E135" s="553"/>
      <c r="F135" s="513"/>
      <c r="G135" s="270"/>
      <c r="H135" s="270"/>
      <c r="I135" s="270"/>
      <c r="J135" s="270"/>
      <c r="K135" s="270"/>
      <c r="L135" s="270"/>
      <c r="M135" s="270"/>
      <c r="N135" s="270"/>
      <c r="O135" s="16"/>
      <c r="P135" s="17"/>
      <c r="Q135" s="158"/>
      <c r="R135" s="18"/>
      <c r="S135" s="18"/>
      <c r="T135" s="89"/>
      <c r="U135" s="108"/>
      <c r="V135" s="18"/>
      <c r="W135" s="10"/>
      <c r="X135" s="10"/>
      <c r="Y135" s="10"/>
      <c r="Z135" s="464"/>
      <c r="AA135" s="10"/>
      <c r="AB135" s="10"/>
      <c r="AC135" s="10"/>
      <c r="AD135" s="204"/>
      <c r="AE135" s="10"/>
      <c r="AF135" s="304"/>
      <c r="AG135" s="63"/>
      <c r="AH135" s="318"/>
      <c r="AI135" s="10"/>
      <c r="AJ135" s="10"/>
      <c r="AK135" s="10"/>
      <c r="AL135" s="339"/>
      <c r="AM135" s="63"/>
      <c r="AN135" s="10"/>
      <c r="AO135" s="10"/>
      <c r="AP135" s="63"/>
      <c r="AQ135" s="304"/>
      <c r="AR135" s="63"/>
      <c r="AS135" s="11"/>
      <c r="AT135" s="108"/>
      <c r="AU135" s="524"/>
      <c r="AV135" s="11"/>
      <c r="AW135" s="11"/>
      <c r="AX135" s="102"/>
      <c r="BA135" s="31"/>
      <c r="BB135" s="162"/>
      <c r="BC135" s="149"/>
      <c r="BD135" s="141"/>
      <c r="BE135" s="141"/>
      <c r="BF135" s="141"/>
      <c r="BG135" s="140"/>
      <c r="BH135" s="140"/>
    </row>
    <row r="136" spans="2:60" s="6" customFormat="1" ht="15">
      <c r="B136" s="952"/>
      <c r="E136" s="553"/>
      <c r="F136" s="513"/>
      <c r="G136" s="270"/>
      <c r="H136" s="270"/>
      <c r="I136" s="270"/>
      <c r="J136" s="270"/>
      <c r="K136" s="270"/>
      <c r="L136" s="270"/>
      <c r="M136" s="270"/>
      <c r="N136" s="270"/>
      <c r="O136" s="16"/>
      <c r="P136" s="17"/>
      <c r="Q136" s="158"/>
      <c r="R136" s="18"/>
      <c r="S136" s="18"/>
      <c r="T136" s="89"/>
      <c r="U136" s="108"/>
      <c r="V136" s="18"/>
      <c r="W136" s="10"/>
      <c r="X136" s="10"/>
      <c r="Y136" s="10"/>
      <c r="Z136" s="464"/>
      <c r="AA136" s="10"/>
      <c r="AB136" s="10"/>
      <c r="AC136" s="10"/>
      <c r="AD136" s="204"/>
      <c r="AE136" s="10"/>
      <c r="AF136" s="304"/>
      <c r="AG136" s="63"/>
      <c r="AH136" s="318"/>
      <c r="AI136" s="10"/>
      <c r="AJ136" s="10"/>
      <c r="AK136" s="10"/>
      <c r="AL136" s="339"/>
      <c r="AM136" s="63"/>
      <c r="AN136" s="10"/>
      <c r="AO136" s="10"/>
      <c r="AP136" s="63"/>
      <c r="AQ136" s="304"/>
      <c r="AR136" s="63"/>
      <c r="AS136" s="11"/>
      <c r="AT136" s="108"/>
      <c r="AU136" s="524"/>
      <c r="AV136" s="11"/>
      <c r="AW136" s="11"/>
      <c r="AX136" s="102"/>
      <c r="BA136" s="31"/>
      <c r="BB136" s="162"/>
      <c r="BC136" s="149"/>
      <c r="BD136" s="141"/>
      <c r="BE136" s="141"/>
      <c r="BF136" s="141"/>
      <c r="BG136" s="140"/>
      <c r="BH136" s="140"/>
    </row>
    <row r="137" spans="2:60" s="6" customFormat="1" ht="15">
      <c r="B137" s="952"/>
      <c r="E137" s="553"/>
      <c r="F137" s="513"/>
      <c r="G137" s="270"/>
      <c r="H137" s="270"/>
      <c r="I137" s="270"/>
      <c r="J137" s="270"/>
      <c r="K137" s="270"/>
      <c r="L137" s="270"/>
      <c r="M137" s="270"/>
      <c r="N137" s="270"/>
      <c r="O137" s="16"/>
      <c r="P137" s="17"/>
      <c r="Q137" s="158"/>
      <c r="R137" s="18"/>
      <c r="S137" s="18"/>
      <c r="T137" s="89"/>
      <c r="U137" s="108"/>
      <c r="V137" s="18"/>
      <c r="W137" s="10"/>
      <c r="X137" s="10"/>
      <c r="Y137" s="10"/>
      <c r="Z137" s="464"/>
      <c r="AA137" s="10"/>
      <c r="AB137" s="10"/>
      <c r="AC137" s="10"/>
      <c r="AD137" s="204"/>
      <c r="AE137" s="10"/>
      <c r="AF137" s="304"/>
      <c r="AG137" s="63"/>
      <c r="AH137" s="318"/>
      <c r="AI137" s="10"/>
      <c r="AJ137" s="10"/>
      <c r="AK137" s="10"/>
      <c r="AL137" s="339"/>
      <c r="AM137" s="63"/>
      <c r="AN137" s="10"/>
      <c r="AO137" s="10"/>
      <c r="AP137" s="63"/>
      <c r="AQ137" s="304"/>
      <c r="AR137" s="63"/>
      <c r="AS137" s="11"/>
      <c r="AT137" s="108"/>
      <c r="AU137" s="524"/>
      <c r="AV137" s="11"/>
      <c r="AW137" s="11"/>
      <c r="AX137" s="102"/>
      <c r="BA137" s="31"/>
      <c r="BB137" s="162"/>
      <c r="BC137" s="149"/>
      <c r="BD137" s="141"/>
      <c r="BE137" s="141"/>
      <c r="BF137" s="141"/>
      <c r="BG137" s="140"/>
      <c r="BH137" s="140"/>
    </row>
    <row r="138" spans="2:60" s="6" customFormat="1" ht="15">
      <c r="B138" s="952"/>
      <c r="E138" s="553"/>
      <c r="F138" s="513"/>
      <c r="G138" s="270"/>
      <c r="H138" s="270"/>
      <c r="I138" s="270"/>
      <c r="J138" s="270"/>
      <c r="K138" s="270"/>
      <c r="L138" s="270"/>
      <c r="M138" s="270"/>
      <c r="N138" s="270"/>
      <c r="O138" s="16"/>
      <c r="P138" s="17"/>
      <c r="Q138" s="158"/>
      <c r="R138" s="18"/>
      <c r="S138" s="18"/>
      <c r="T138" s="89"/>
      <c r="U138" s="108"/>
      <c r="V138" s="18"/>
      <c r="W138" s="10"/>
      <c r="X138" s="10"/>
      <c r="Y138" s="10"/>
      <c r="Z138" s="464"/>
      <c r="AA138" s="10"/>
      <c r="AB138" s="10"/>
      <c r="AC138" s="10"/>
      <c r="AD138" s="204"/>
      <c r="AE138" s="10"/>
      <c r="AF138" s="304"/>
      <c r="AG138" s="63"/>
      <c r="AH138" s="318"/>
      <c r="AI138" s="10"/>
      <c r="AJ138" s="10"/>
      <c r="AK138" s="10"/>
      <c r="AL138" s="339"/>
      <c r="AM138" s="63"/>
      <c r="AN138" s="10"/>
      <c r="AO138" s="10"/>
      <c r="AP138" s="63"/>
      <c r="AQ138" s="304"/>
      <c r="AR138" s="63"/>
      <c r="AS138" s="11"/>
      <c r="AT138" s="108"/>
      <c r="AU138" s="524"/>
      <c r="AV138" s="11"/>
      <c r="AW138" s="11"/>
      <c r="AX138" s="102"/>
      <c r="BA138" s="31"/>
      <c r="BB138" s="162"/>
      <c r="BC138" s="149"/>
      <c r="BD138" s="141"/>
      <c r="BE138" s="141"/>
      <c r="BF138" s="141"/>
      <c r="BG138" s="140"/>
      <c r="BH138" s="140"/>
    </row>
    <row r="139" spans="2:60" s="6" customFormat="1" ht="15">
      <c r="B139" s="952"/>
      <c r="E139" s="553"/>
      <c r="F139" s="513"/>
      <c r="G139" s="270"/>
      <c r="H139" s="270"/>
      <c r="I139" s="270"/>
      <c r="J139" s="270"/>
      <c r="K139" s="270"/>
      <c r="L139" s="270"/>
      <c r="M139" s="270"/>
      <c r="N139" s="270"/>
      <c r="O139" s="16"/>
      <c r="P139" s="17"/>
      <c r="Q139" s="158"/>
      <c r="R139" s="18"/>
      <c r="S139" s="18"/>
      <c r="T139" s="89"/>
      <c r="U139" s="108"/>
      <c r="V139" s="18"/>
      <c r="W139" s="10"/>
      <c r="X139" s="10"/>
      <c r="Y139" s="10"/>
      <c r="Z139" s="464"/>
      <c r="AA139" s="10"/>
      <c r="AB139" s="10"/>
      <c r="AC139" s="10"/>
      <c r="AD139" s="204"/>
      <c r="AE139" s="10"/>
      <c r="AF139" s="304"/>
      <c r="AG139" s="63"/>
      <c r="AH139" s="318"/>
      <c r="AI139" s="10"/>
      <c r="AJ139" s="10"/>
      <c r="AK139" s="10"/>
      <c r="AL139" s="339"/>
      <c r="AM139" s="63"/>
      <c r="AN139" s="10"/>
      <c r="AO139" s="10"/>
      <c r="AP139" s="63"/>
      <c r="AQ139" s="304"/>
      <c r="AR139" s="63"/>
      <c r="AS139" s="11"/>
      <c r="AT139" s="108"/>
      <c r="AU139" s="524"/>
      <c r="AV139" s="11"/>
      <c r="AW139" s="11"/>
      <c r="AX139" s="102"/>
      <c r="BA139" s="31"/>
      <c r="BB139" s="162"/>
      <c r="BC139" s="149"/>
      <c r="BD139" s="141"/>
      <c r="BE139" s="141"/>
      <c r="BF139" s="141"/>
      <c r="BG139" s="140"/>
      <c r="BH139" s="140"/>
    </row>
    <row r="140" spans="2:60" s="6" customFormat="1" ht="15">
      <c r="B140" s="952"/>
      <c r="E140" s="553"/>
      <c r="F140" s="513"/>
      <c r="G140" s="270"/>
      <c r="H140" s="270"/>
      <c r="I140" s="270"/>
      <c r="J140" s="270"/>
      <c r="K140" s="270"/>
      <c r="L140" s="270"/>
      <c r="M140" s="270"/>
      <c r="N140" s="270"/>
      <c r="O140" s="16"/>
      <c r="P140" s="17"/>
      <c r="Q140" s="158"/>
      <c r="R140" s="18"/>
      <c r="S140" s="18"/>
      <c r="T140" s="89"/>
      <c r="U140" s="108"/>
      <c r="V140" s="18"/>
      <c r="W140" s="10"/>
      <c r="X140" s="10"/>
      <c r="Y140" s="10"/>
      <c r="Z140" s="464"/>
      <c r="AA140" s="10"/>
      <c r="AB140" s="10"/>
      <c r="AC140" s="10"/>
      <c r="AD140" s="204"/>
      <c r="AE140" s="10"/>
      <c r="AF140" s="304"/>
      <c r="AG140" s="63"/>
      <c r="AH140" s="318"/>
      <c r="AI140" s="10"/>
      <c r="AJ140" s="10"/>
      <c r="AK140" s="10"/>
      <c r="AL140" s="339"/>
      <c r="AM140" s="63"/>
      <c r="AN140" s="10"/>
      <c r="AO140" s="10"/>
      <c r="AP140" s="63"/>
      <c r="AQ140" s="304"/>
      <c r="AR140" s="63"/>
      <c r="AS140" s="11"/>
      <c r="AT140" s="108"/>
      <c r="AU140" s="524"/>
      <c r="AV140" s="11"/>
      <c r="AW140" s="11"/>
      <c r="AX140" s="102"/>
      <c r="BA140" s="31"/>
      <c r="BB140" s="162"/>
      <c r="BC140" s="149"/>
      <c r="BD140" s="141"/>
      <c r="BE140" s="141"/>
      <c r="BF140" s="141"/>
      <c r="BG140" s="140"/>
      <c r="BH140" s="140"/>
    </row>
    <row r="141" spans="2:60" s="6" customFormat="1" ht="15">
      <c r="B141" s="952"/>
      <c r="E141" s="553"/>
      <c r="F141" s="513"/>
      <c r="G141" s="270"/>
      <c r="H141" s="270"/>
      <c r="I141" s="270"/>
      <c r="J141" s="270"/>
      <c r="K141" s="270"/>
      <c r="L141" s="270"/>
      <c r="M141" s="270"/>
      <c r="N141" s="270"/>
      <c r="O141" s="16"/>
      <c r="P141" s="17"/>
      <c r="Q141" s="158"/>
      <c r="R141" s="18"/>
      <c r="S141" s="18"/>
      <c r="T141" s="89"/>
      <c r="U141" s="108"/>
      <c r="V141" s="18"/>
      <c r="W141" s="10"/>
      <c r="X141" s="10"/>
      <c r="Y141" s="10"/>
      <c r="Z141" s="464"/>
      <c r="AA141" s="10"/>
      <c r="AB141" s="10"/>
      <c r="AC141" s="10"/>
      <c r="AD141" s="204"/>
      <c r="AE141" s="10"/>
      <c r="AF141" s="304"/>
      <c r="AG141" s="63"/>
      <c r="AH141" s="318"/>
      <c r="AI141" s="10"/>
      <c r="AJ141" s="10"/>
      <c r="AK141" s="10"/>
      <c r="AL141" s="339"/>
      <c r="AM141" s="63"/>
      <c r="AN141" s="10"/>
      <c r="AO141" s="10"/>
      <c r="AP141" s="63"/>
      <c r="AQ141" s="304"/>
      <c r="AR141" s="63"/>
      <c r="AS141" s="11"/>
      <c r="AT141" s="108"/>
      <c r="AU141" s="524"/>
      <c r="AV141" s="11"/>
      <c r="AW141" s="11"/>
      <c r="AX141" s="102"/>
      <c r="BA141" s="31"/>
      <c r="BB141" s="162"/>
      <c r="BC141" s="149"/>
      <c r="BD141" s="141"/>
      <c r="BE141" s="141"/>
      <c r="BF141" s="141"/>
      <c r="BG141" s="140"/>
      <c r="BH141" s="140"/>
    </row>
    <row r="142" spans="2:60" s="6" customFormat="1" ht="15">
      <c r="B142" s="952"/>
      <c r="E142" s="553"/>
      <c r="F142" s="513"/>
      <c r="G142" s="270"/>
      <c r="H142" s="270"/>
      <c r="I142" s="270"/>
      <c r="J142" s="270"/>
      <c r="K142" s="270"/>
      <c r="L142" s="270"/>
      <c r="M142" s="270"/>
      <c r="N142" s="270"/>
      <c r="O142" s="16"/>
      <c r="P142" s="17"/>
      <c r="Q142" s="158"/>
      <c r="R142" s="18"/>
      <c r="S142" s="18"/>
      <c r="T142" s="89"/>
      <c r="U142" s="108"/>
      <c r="V142" s="18"/>
      <c r="W142" s="10"/>
      <c r="X142" s="10"/>
      <c r="Y142" s="10"/>
      <c r="Z142" s="464"/>
      <c r="AA142" s="10"/>
      <c r="AB142" s="10"/>
      <c r="AC142" s="10"/>
      <c r="AD142" s="204"/>
      <c r="AE142" s="10"/>
      <c r="AF142" s="304"/>
      <c r="AG142" s="63"/>
      <c r="AH142" s="318"/>
      <c r="AI142" s="10"/>
      <c r="AJ142" s="10"/>
      <c r="AK142" s="10"/>
      <c r="AL142" s="339"/>
      <c r="AM142" s="63"/>
      <c r="AN142" s="10"/>
      <c r="AO142" s="10"/>
      <c r="AP142" s="63"/>
      <c r="AQ142" s="304"/>
      <c r="AR142" s="63"/>
      <c r="AS142" s="11"/>
      <c r="AT142" s="108"/>
      <c r="AU142" s="524"/>
      <c r="AV142" s="11"/>
      <c r="AW142" s="11"/>
      <c r="AX142" s="102"/>
      <c r="BA142" s="31"/>
      <c r="BB142" s="162"/>
      <c r="BC142" s="149"/>
      <c r="BD142" s="141"/>
      <c r="BE142" s="141"/>
      <c r="BF142" s="141"/>
      <c r="BG142" s="140"/>
      <c r="BH142" s="140"/>
    </row>
    <row r="143" spans="2:60" s="6" customFormat="1" ht="15">
      <c r="B143" s="952"/>
      <c r="E143" s="553"/>
      <c r="F143" s="513"/>
      <c r="G143" s="270"/>
      <c r="H143" s="270"/>
      <c r="I143" s="270"/>
      <c r="J143" s="270"/>
      <c r="K143" s="270"/>
      <c r="L143" s="270"/>
      <c r="M143" s="270"/>
      <c r="N143" s="270"/>
      <c r="O143" s="16"/>
      <c r="P143" s="17"/>
      <c r="Q143" s="158"/>
      <c r="R143" s="18"/>
      <c r="S143" s="18"/>
      <c r="T143" s="89"/>
      <c r="U143" s="108"/>
      <c r="V143" s="18"/>
      <c r="W143" s="10"/>
      <c r="X143" s="10"/>
      <c r="Y143" s="10"/>
      <c r="Z143" s="464"/>
      <c r="AA143" s="10"/>
      <c r="AB143" s="10"/>
      <c r="AC143" s="10"/>
      <c r="AD143" s="204"/>
      <c r="AE143" s="10"/>
      <c r="AF143" s="304"/>
      <c r="AG143" s="63"/>
      <c r="AH143" s="318"/>
      <c r="AI143" s="10"/>
      <c r="AJ143" s="10"/>
      <c r="AK143" s="10"/>
      <c r="AL143" s="339"/>
      <c r="AM143" s="63"/>
      <c r="AN143" s="10"/>
      <c r="AO143" s="10"/>
      <c r="AP143" s="63"/>
      <c r="AQ143" s="304"/>
      <c r="AR143" s="63"/>
      <c r="AS143" s="11"/>
      <c r="AT143" s="108"/>
      <c r="AU143" s="524"/>
      <c r="AV143" s="11"/>
      <c r="AW143" s="11"/>
      <c r="AX143" s="102"/>
      <c r="BA143" s="31"/>
      <c r="BB143" s="162"/>
      <c r="BC143" s="149"/>
      <c r="BD143" s="141"/>
      <c r="BE143" s="141"/>
      <c r="BF143" s="141"/>
      <c r="BG143" s="140"/>
      <c r="BH143" s="140"/>
    </row>
    <row r="144" spans="2:60" s="6" customFormat="1" ht="15">
      <c r="B144" s="952"/>
      <c r="E144" s="553"/>
      <c r="F144" s="513"/>
      <c r="G144" s="270"/>
      <c r="H144" s="270"/>
      <c r="I144" s="270"/>
      <c r="J144" s="270"/>
      <c r="K144" s="270"/>
      <c r="L144" s="270"/>
      <c r="M144" s="270"/>
      <c r="N144" s="270"/>
      <c r="O144" s="16"/>
      <c r="P144" s="17"/>
      <c r="Q144" s="158"/>
      <c r="R144" s="18"/>
      <c r="S144" s="18"/>
      <c r="T144" s="89"/>
      <c r="U144" s="108"/>
      <c r="V144" s="18"/>
      <c r="W144" s="10"/>
      <c r="X144" s="10"/>
      <c r="Y144" s="10"/>
      <c r="Z144" s="464"/>
      <c r="AA144" s="10"/>
      <c r="AB144" s="10"/>
      <c r="AC144" s="10"/>
      <c r="AD144" s="204"/>
      <c r="AE144" s="10"/>
      <c r="AF144" s="304"/>
      <c r="AG144" s="63"/>
      <c r="AH144" s="318"/>
      <c r="AI144" s="10"/>
      <c r="AJ144" s="10"/>
      <c r="AK144" s="10"/>
      <c r="AL144" s="339"/>
      <c r="AM144" s="63"/>
      <c r="AN144" s="10"/>
      <c r="AO144" s="10"/>
      <c r="AP144" s="63"/>
      <c r="AQ144" s="304"/>
      <c r="AR144" s="63"/>
      <c r="AS144" s="11"/>
      <c r="AT144" s="108"/>
      <c r="AU144" s="524"/>
      <c r="AV144" s="11"/>
      <c r="AW144" s="11"/>
      <c r="AX144" s="102"/>
      <c r="BA144" s="31"/>
      <c r="BB144" s="162"/>
      <c r="BC144" s="149"/>
      <c r="BD144" s="141"/>
      <c r="BE144" s="141"/>
      <c r="BF144" s="141"/>
      <c r="BG144" s="140"/>
      <c r="BH144" s="140"/>
    </row>
    <row r="145" spans="2:60" s="6" customFormat="1" ht="15">
      <c r="B145" s="952"/>
      <c r="E145" s="553"/>
      <c r="F145" s="513"/>
      <c r="G145" s="270"/>
      <c r="H145" s="270"/>
      <c r="I145" s="270"/>
      <c r="J145" s="270"/>
      <c r="K145" s="270"/>
      <c r="L145" s="270"/>
      <c r="M145" s="270"/>
      <c r="N145" s="270"/>
      <c r="O145" s="16"/>
      <c r="P145" s="17"/>
      <c r="Q145" s="158"/>
      <c r="R145" s="18"/>
      <c r="S145" s="18"/>
      <c r="T145" s="89"/>
      <c r="U145" s="108"/>
      <c r="V145" s="18"/>
      <c r="W145" s="10"/>
      <c r="X145" s="10"/>
      <c r="Y145" s="10"/>
      <c r="Z145" s="464"/>
      <c r="AA145" s="10"/>
      <c r="AB145" s="10"/>
      <c r="AC145" s="10"/>
      <c r="AD145" s="204"/>
      <c r="AE145" s="10"/>
      <c r="AF145" s="304"/>
      <c r="AG145" s="63"/>
      <c r="AH145" s="318"/>
      <c r="AI145" s="10"/>
      <c r="AJ145" s="10"/>
      <c r="AK145" s="10"/>
      <c r="AL145" s="339"/>
      <c r="AM145" s="63"/>
      <c r="AN145" s="10"/>
      <c r="AO145" s="10"/>
      <c r="AP145" s="63"/>
      <c r="AQ145" s="304"/>
      <c r="AR145" s="63"/>
      <c r="AS145" s="11"/>
      <c r="AT145" s="108"/>
      <c r="AU145" s="524"/>
      <c r="AV145" s="11"/>
      <c r="AW145" s="11"/>
      <c r="AX145" s="102"/>
      <c r="BA145" s="31"/>
      <c r="BB145" s="162"/>
      <c r="BC145" s="149"/>
      <c r="BD145" s="141"/>
      <c r="BE145" s="141"/>
      <c r="BF145" s="141"/>
      <c r="BG145" s="140"/>
      <c r="BH145" s="140"/>
    </row>
    <row r="146" spans="2:60" s="6" customFormat="1" ht="15">
      <c r="B146" s="952"/>
      <c r="E146" s="553"/>
      <c r="F146" s="513"/>
      <c r="G146" s="270"/>
      <c r="H146" s="270"/>
      <c r="I146" s="270"/>
      <c r="J146" s="270"/>
      <c r="K146" s="270"/>
      <c r="L146" s="270"/>
      <c r="M146" s="270"/>
      <c r="N146" s="270"/>
      <c r="O146" s="16"/>
      <c r="P146" s="17"/>
      <c r="Q146" s="158"/>
      <c r="R146" s="18"/>
      <c r="S146" s="18"/>
      <c r="T146" s="89"/>
      <c r="U146" s="108"/>
      <c r="V146" s="18"/>
      <c r="W146" s="10"/>
      <c r="X146" s="10"/>
      <c r="Y146" s="10"/>
      <c r="Z146" s="464"/>
      <c r="AA146" s="10"/>
      <c r="AB146" s="10"/>
      <c r="AC146" s="10"/>
      <c r="AD146" s="204"/>
      <c r="AE146" s="10"/>
      <c r="AF146" s="304"/>
      <c r="AG146" s="63"/>
      <c r="AH146" s="318"/>
      <c r="AI146" s="10"/>
      <c r="AJ146" s="10"/>
      <c r="AK146" s="10"/>
      <c r="AL146" s="339"/>
      <c r="AM146" s="63"/>
      <c r="AN146" s="10"/>
      <c r="AO146" s="10"/>
      <c r="AP146" s="63"/>
      <c r="AQ146" s="304"/>
      <c r="AR146" s="63"/>
      <c r="AS146" s="11"/>
      <c r="AT146" s="108"/>
      <c r="AU146" s="524"/>
      <c r="AV146" s="11"/>
      <c r="AW146" s="11"/>
      <c r="AX146" s="102"/>
      <c r="BA146" s="31"/>
      <c r="BB146" s="162"/>
      <c r="BC146" s="149"/>
      <c r="BD146" s="141"/>
      <c r="BE146" s="141"/>
      <c r="BF146" s="141"/>
      <c r="BG146" s="140"/>
      <c r="BH146" s="140"/>
    </row>
    <row r="147" spans="2:60" s="6" customFormat="1" ht="15">
      <c r="B147" s="952"/>
      <c r="E147" s="553"/>
      <c r="F147" s="513"/>
      <c r="G147" s="270"/>
      <c r="H147" s="270"/>
      <c r="I147" s="270"/>
      <c r="J147" s="270"/>
      <c r="K147" s="270"/>
      <c r="L147" s="270"/>
      <c r="M147" s="270"/>
      <c r="N147" s="270"/>
      <c r="O147" s="16"/>
      <c r="P147" s="17"/>
      <c r="Q147" s="158"/>
      <c r="R147" s="18"/>
      <c r="S147" s="18"/>
      <c r="T147" s="89"/>
      <c r="U147" s="108"/>
      <c r="V147" s="18"/>
      <c r="W147" s="10"/>
      <c r="X147" s="10"/>
      <c r="Y147" s="10"/>
      <c r="Z147" s="464"/>
      <c r="AA147" s="10"/>
      <c r="AB147" s="10"/>
      <c r="AC147" s="10"/>
      <c r="AD147" s="204"/>
      <c r="AE147" s="10"/>
      <c r="AF147" s="304"/>
      <c r="AG147" s="63"/>
      <c r="AH147" s="318"/>
      <c r="AI147" s="10"/>
      <c r="AJ147" s="10"/>
      <c r="AK147" s="10"/>
      <c r="AL147" s="339"/>
      <c r="AM147" s="63"/>
      <c r="AN147" s="10"/>
      <c r="AO147" s="10"/>
      <c r="AP147" s="63"/>
      <c r="AQ147" s="304"/>
      <c r="AR147" s="63"/>
      <c r="AS147" s="11"/>
      <c r="AT147" s="108"/>
      <c r="AU147" s="524"/>
      <c r="AV147" s="11"/>
      <c r="AW147" s="11"/>
      <c r="AX147" s="102"/>
      <c r="BA147" s="31"/>
      <c r="BB147" s="162"/>
      <c r="BC147" s="149"/>
      <c r="BD147" s="141"/>
      <c r="BE147" s="141"/>
      <c r="BF147" s="141"/>
      <c r="BG147" s="140"/>
      <c r="BH147" s="140"/>
    </row>
    <row r="148" spans="2:60" s="6" customFormat="1" ht="15">
      <c r="B148" s="952"/>
      <c r="E148" s="553"/>
      <c r="F148" s="513"/>
      <c r="G148" s="270"/>
      <c r="H148" s="270"/>
      <c r="I148" s="270"/>
      <c r="J148" s="270"/>
      <c r="K148" s="270"/>
      <c r="L148" s="270"/>
      <c r="M148" s="270"/>
      <c r="N148" s="270"/>
      <c r="O148" s="16"/>
      <c r="P148" s="17"/>
      <c r="Q148" s="158"/>
      <c r="R148" s="18"/>
      <c r="S148" s="18"/>
      <c r="T148" s="89"/>
      <c r="U148" s="108"/>
      <c r="V148" s="18"/>
      <c r="W148" s="10"/>
      <c r="X148" s="10"/>
      <c r="Y148" s="10"/>
      <c r="Z148" s="464"/>
      <c r="AA148" s="10"/>
      <c r="AB148" s="10"/>
      <c r="AC148" s="10"/>
      <c r="AD148" s="204"/>
      <c r="AE148" s="10"/>
      <c r="AF148" s="304"/>
      <c r="AG148" s="63"/>
      <c r="AH148" s="318"/>
      <c r="AI148" s="10"/>
      <c r="AJ148" s="10"/>
      <c r="AK148" s="10"/>
      <c r="AL148" s="339"/>
      <c r="AM148" s="63"/>
      <c r="AN148" s="10"/>
      <c r="AO148" s="10"/>
      <c r="AP148" s="63"/>
      <c r="AQ148" s="304"/>
      <c r="AR148" s="63"/>
      <c r="AS148" s="11"/>
      <c r="AT148" s="108"/>
      <c r="AU148" s="524"/>
      <c r="AV148" s="11"/>
      <c r="AW148" s="11"/>
      <c r="AX148" s="102"/>
      <c r="BA148" s="31"/>
      <c r="BB148" s="162"/>
      <c r="BC148" s="149"/>
      <c r="BD148" s="141"/>
      <c r="BE148" s="141"/>
      <c r="BF148" s="141"/>
      <c r="BG148" s="140"/>
      <c r="BH148" s="140"/>
    </row>
    <row r="149" spans="2:60" s="6" customFormat="1" ht="15">
      <c r="B149" s="952"/>
      <c r="E149" s="553"/>
      <c r="F149" s="513"/>
      <c r="G149" s="270"/>
      <c r="H149" s="270"/>
      <c r="I149" s="270"/>
      <c r="J149" s="270"/>
      <c r="K149" s="270"/>
      <c r="L149" s="270"/>
      <c r="M149" s="270"/>
      <c r="N149" s="270"/>
      <c r="O149" s="16"/>
      <c r="P149" s="17"/>
      <c r="Q149" s="158"/>
      <c r="R149" s="18"/>
      <c r="S149" s="18"/>
      <c r="T149" s="89"/>
      <c r="U149" s="108"/>
      <c r="V149" s="18"/>
      <c r="W149" s="10"/>
      <c r="X149" s="10"/>
      <c r="Y149" s="10"/>
      <c r="Z149" s="464"/>
      <c r="AA149" s="10"/>
      <c r="AB149" s="10"/>
      <c r="AC149" s="10"/>
      <c r="AD149" s="204"/>
      <c r="AE149" s="10"/>
      <c r="AF149" s="304"/>
      <c r="AG149" s="63"/>
      <c r="AH149" s="318"/>
      <c r="AI149" s="10"/>
      <c r="AJ149" s="10"/>
      <c r="AK149" s="10"/>
      <c r="AL149" s="339"/>
      <c r="AM149" s="63"/>
      <c r="AN149" s="10"/>
      <c r="AO149" s="10"/>
      <c r="AP149" s="63"/>
      <c r="AQ149" s="304"/>
      <c r="AR149" s="63"/>
      <c r="AS149" s="11"/>
      <c r="AT149" s="108"/>
      <c r="AU149" s="524"/>
      <c r="AV149" s="11"/>
      <c r="AW149" s="11"/>
      <c r="AX149" s="102"/>
      <c r="BA149" s="31"/>
      <c r="BB149" s="162"/>
      <c r="BC149" s="149"/>
      <c r="BD149" s="141"/>
      <c r="BE149" s="141"/>
      <c r="BF149" s="141"/>
      <c r="BG149" s="140"/>
      <c r="BH149" s="140"/>
    </row>
    <row r="150" spans="2:60" s="6" customFormat="1" ht="15">
      <c r="B150" s="952"/>
      <c r="E150" s="553"/>
      <c r="F150" s="513"/>
      <c r="G150" s="270"/>
      <c r="H150" s="270"/>
      <c r="I150" s="270"/>
      <c r="J150" s="270"/>
      <c r="K150" s="270"/>
      <c r="L150" s="270"/>
      <c r="M150" s="270"/>
      <c r="N150" s="270"/>
      <c r="O150" s="16"/>
      <c r="P150" s="17"/>
      <c r="Q150" s="158"/>
      <c r="R150" s="18"/>
      <c r="S150" s="18"/>
      <c r="T150" s="89"/>
      <c r="U150" s="108"/>
      <c r="V150" s="18"/>
      <c r="W150" s="10"/>
      <c r="X150" s="10"/>
      <c r="Y150" s="10"/>
      <c r="Z150" s="464"/>
      <c r="AA150" s="10"/>
      <c r="AB150" s="10"/>
      <c r="AC150" s="10"/>
      <c r="AD150" s="204"/>
      <c r="AE150" s="10"/>
      <c r="AF150" s="304"/>
      <c r="AG150" s="63"/>
      <c r="AH150" s="318"/>
      <c r="AI150" s="10"/>
      <c r="AJ150" s="10"/>
      <c r="AK150" s="10"/>
      <c r="AL150" s="339"/>
      <c r="AM150" s="63"/>
      <c r="AN150" s="10"/>
      <c r="AO150" s="10"/>
      <c r="AP150" s="63"/>
      <c r="AQ150" s="304"/>
      <c r="AR150" s="63"/>
      <c r="AS150" s="11"/>
      <c r="AT150" s="108"/>
      <c r="AU150" s="524"/>
      <c r="AV150" s="11"/>
      <c r="AW150" s="11"/>
      <c r="AX150" s="102"/>
      <c r="BA150" s="31"/>
      <c r="BB150" s="162"/>
      <c r="BC150" s="149"/>
      <c r="BD150" s="141"/>
      <c r="BE150" s="141"/>
      <c r="BF150" s="141"/>
      <c r="BG150" s="140"/>
      <c r="BH150" s="140"/>
    </row>
    <row r="151" spans="2:60" s="6" customFormat="1" ht="15">
      <c r="B151" s="952"/>
      <c r="E151" s="553"/>
      <c r="F151" s="513"/>
      <c r="G151" s="270"/>
      <c r="H151" s="270"/>
      <c r="I151" s="270"/>
      <c r="J151" s="270"/>
      <c r="K151" s="270"/>
      <c r="L151" s="270"/>
      <c r="M151" s="270"/>
      <c r="N151" s="270"/>
      <c r="O151" s="16"/>
      <c r="P151" s="17"/>
      <c r="Q151" s="158"/>
      <c r="R151" s="18"/>
      <c r="S151" s="18"/>
      <c r="T151" s="89"/>
      <c r="U151" s="108"/>
      <c r="V151" s="18"/>
      <c r="W151" s="10"/>
      <c r="X151" s="10"/>
      <c r="Y151" s="10"/>
      <c r="Z151" s="464"/>
      <c r="AA151" s="10"/>
      <c r="AB151" s="10"/>
      <c r="AC151" s="10"/>
      <c r="AD151" s="204"/>
      <c r="AE151" s="10"/>
      <c r="AF151" s="304"/>
      <c r="AG151" s="63"/>
      <c r="AH151" s="318"/>
      <c r="AI151" s="10"/>
      <c r="AJ151" s="10"/>
      <c r="AK151" s="10"/>
      <c r="AL151" s="339"/>
      <c r="AM151" s="63"/>
      <c r="AN151" s="10"/>
      <c r="AO151" s="10"/>
      <c r="AP151" s="63"/>
      <c r="AQ151" s="304"/>
      <c r="AR151" s="63"/>
      <c r="AS151" s="11"/>
      <c r="AT151" s="108"/>
      <c r="AU151" s="524"/>
      <c r="AV151" s="11"/>
      <c r="AW151" s="11"/>
      <c r="AX151" s="102"/>
      <c r="BA151" s="31"/>
      <c r="BB151" s="162"/>
      <c r="BC151" s="149"/>
      <c r="BD151" s="141"/>
      <c r="BE151" s="141"/>
      <c r="BF151" s="141"/>
      <c r="BG151" s="140"/>
      <c r="BH151" s="140"/>
    </row>
    <row r="152" spans="2:60" s="6" customFormat="1" ht="15">
      <c r="B152" s="952"/>
      <c r="E152" s="553"/>
      <c r="F152" s="513"/>
      <c r="G152" s="270"/>
      <c r="H152" s="270"/>
      <c r="I152" s="270"/>
      <c r="J152" s="270"/>
      <c r="K152" s="270"/>
      <c r="L152" s="270"/>
      <c r="M152" s="270"/>
      <c r="N152" s="270"/>
      <c r="O152" s="16"/>
      <c r="P152" s="17"/>
      <c r="Q152" s="158"/>
      <c r="R152" s="18"/>
      <c r="S152" s="18"/>
      <c r="T152" s="89"/>
      <c r="U152" s="108"/>
      <c r="V152" s="18"/>
      <c r="W152" s="10"/>
      <c r="X152" s="10"/>
      <c r="Y152" s="10"/>
      <c r="Z152" s="464"/>
      <c r="AA152" s="10"/>
      <c r="AB152" s="10"/>
      <c r="AC152" s="10"/>
      <c r="AD152" s="204"/>
      <c r="AE152" s="10"/>
      <c r="AF152" s="304"/>
      <c r="AG152" s="63"/>
      <c r="AH152" s="318"/>
      <c r="AI152" s="10"/>
      <c r="AJ152" s="10"/>
      <c r="AK152" s="10"/>
      <c r="AL152" s="339"/>
      <c r="AM152" s="63"/>
      <c r="AN152" s="10"/>
      <c r="AO152" s="10"/>
      <c r="AP152" s="63"/>
      <c r="AQ152" s="304"/>
      <c r="AR152" s="63"/>
      <c r="AS152" s="11"/>
      <c r="AT152" s="108"/>
      <c r="AU152" s="524"/>
      <c r="AV152" s="11"/>
      <c r="AW152" s="11"/>
      <c r="AX152" s="102"/>
      <c r="BA152" s="31"/>
      <c r="BB152" s="162"/>
      <c r="BC152" s="149"/>
      <c r="BD152" s="141"/>
      <c r="BE152" s="141"/>
      <c r="BF152" s="141"/>
      <c r="BG152" s="140"/>
      <c r="BH152" s="140"/>
    </row>
    <row r="153" spans="2:60" s="6" customFormat="1" ht="15">
      <c r="B153" s="952"/>
      <c r="E153" s="553"/>
      <c r="F153" s="513"/>
      <c r="G153" s="270"/>
      <c r="H153" s="270"/>
      <c r="I153" s="270"/>
      <c r="J153" s="270"/>
      <c r="K153" s="270"/>
      <c r="L153" s="270"/>
      <c r="M153" s="270"/>
      <c r="N153" s="270"/>
      <c r="O153" s="16"/>
      <c r="P153" s="17"/>
      <c r="Q153" s="158"/>
      <c r="R153" s="18"/>
      <c r="S153" s="18"/>
      <c r="T153" s="89"/>
      <c r="U153" s="108"/>
      <c r="V153" s="18"/>
      <c r="W153" s="10"/>
      <c r="X153" s="10"/>
      <c r="Y153" s="10"/>
      <c r="Z153" s="464"/>
      <c r="AA153" s="10"/>
      <c r="AB153" s="10"/>
      <c r="AC153" s="10"/>
      <c r="AD153" s="204"/>
      <c r="AE153" s="10"/>
      <c r="AF153" s="304"/>
      <c r="AG153" s="63"/>
      <c r="AH153" s="318"/>
      <c r="AI153" s="10"/>
      <c r="AJ153" s="10"/>
      <c r="AK153" s="10"/>
      <c r="AL153" s="339"/>
      <c r="AM153" s="63"/>
      <c r="AN153" s="10"/>
      <c r="AO153" s="10"/>
      <c r="AP153" s="63"/>
      <c r="AQ153" s="304"/>
      <c r="AR153" s="63"/>
      <c r="AS153" s="11"/>
      <c r="AT153" s="108"/>
      <c r="AU153" s="524"/>
      <c r="AV153" s="11"/>
      <c r="AW153" s="11"/>
      <c r="AX153" s="102"/>
      <c r="BA153" s="31"/>
      <c r="BB153" s="162"/>
      <c r="BC153" s="149"/>
      <c r="BD153" s="141"/>
      <c r="BE153" s="141"/>
      <c r="BF153" s="141"/>
      <c r="BG153" s="140"/>
      <c r="BH153" s="140"/>
    </row>
    <row r="154" spans="2:60" s="6" customFormat="1" ht="15">
      <c r="B154" s="952"/>
      <c r="E154" s="553"/>
      <c r="F154" s="513"/>
      <c r="G154" s="270"/>
      <c r="H154" s="270"/>
      <c r="I154" s="270"/>
      <c r="J154" s="270"/>
      <c r="K154" s="270"/>
      <c r="L154" s="270"/>
      <c r="M154" s="270"/>
      <c r="N154" s="270"/>
      <c r="O154" s="16"/>
      <c r="P154" s="17"/>
      <c r="Q154" s="158"/>
      <c r="R154" s="18"/>
      <c r="S154" s="18"/>
      <c r="T154" s="89"/>
      <c r="U154" s="108"/>
      <c r="V154" s="18"/>
      <c r="W154" s="10"/>
      <c r="X154" s="10"/>
      <c r="Y154" s="10"/>
      <c r="Z154" s="464"/>
      <c r="AA154" s="10"/>
      <c r="AB154" s="10"/>
      <c r="AC154" s="10"/>
      <c r="AD154" s="204"/>
      <c r="AE154" s="10"/>
      <c r="AF154" s="304"/>
      <c r="AG154" s="63"/>
      <c r="AH154" s="318"/>
      <c r="AI154" s="10"/>
      <c r="AJ154" s="10"/>
      <c r="AK154" s="10"/>
      <c r="AL154" s="339"/>
      <c r="AM154" s="63"/>
      <c r="AN154" s="10"/>
      <c r="AO154" s="10"/>
      <c r="AP154" s="63"/>
      <c r="AQ154" s="304"/>
      <c r="AR154" s="63"/>
      <c r="AS154" s="11"/>
      <c r="AT154" s="108"/>
      <c r="AU154" s="524"/>
      <c r="AV154" s="11"/>
      <c r="AW154" s="11"/>
      <c r="AX154" s="102"/>
      <c r="BA154" s="31"/>
      <c r="BB154" s="162"/>
      <c r="BC154" s="149"/>
      <c r="BD154" s="141"/>
      <c r="BE154" s="141"/>
      <c r="BF154" s="141"/>
      <c r="BG154" s="140"/>
      <c r="BH154" s="140"/>
    </row>
    <row r="155" spans="2:60" s="6" customFormat="1" ht="15">
      <c r="B155" s="952"/>
      <c r="E155" s="553"/>
      <c r="F155" s="513"/>
      <c r="G155" s="270"/>
      <c r="H155" s="270"/>
      <c r="I155" s="270"/>
      <c r="J155" s="270"/>
      <c r="K155" s="270"/>
      <c r="L155" s="270"/>
      <c r="M155" s="270"/>
      <c r="N155" s="270"/>
      <c r="O155" s="16"/>
      <c r="P155" s="17"/>
      <c r="Q155" s="158"/>
      <c r="R155" s="18"/>
      <c r="S155" s="18"/>
      <c r="T155" s="89"/>
      <c r="U155" s="108"/>
      <c r="V155" s="18"/>
      <c r="W155" s="10"/>
      <c r="X155" s="10"/>
      <c r="Y155" s="10"/>
      <c r="Z155" s="464"/>
      <c r="AA155" s="10"/>
      <c r="AB155" s="10"/>
      <c r="AC155" s="10"/>
      <c r="AD155" s="204"/>
      <c r="AE155" s="10"/>
      <c r="AF155" s="304"/>
      <c r="AG155" s="63"/>
      <c r="AH155" s="318"/>
      <c r="AI155" s="10"/>
      <c r="AJ155" s="10"/>
      <c r="AK155" s="10"/>
      <c r="AL155" s="339"/>
      <c r="AM155" s="63"/>
      <c r="AN155" s="10"/>
      <c r="AO155" s="10"/>
      <c r="AP155" s="63"/>
      <c r="AQ155" s="304"/>
      <c r="AR155" s="63"/>
      <c r="AS155" s="11"/>
      <c r="AT155" s="108"/>
      <c r="AU155" s="524"/>
      <c r="AV155" s="11"/>
      <c r="AW155" s="11"/>
      <c r="AX155" s="102"/>
      <c r="BA155" s="31"/>
      <c r="BB155" s="162"/>
      <c r="BC155" s="149"/>
      <c r="BD155" s="141"/>
      <c r="BE155" s="141"/>
      <c r="BF155" s="141"/>
      <c r="BG155" s="140"/>
      <c r="BH155" s="140"/>
    </row>
    <row r="156" spans="2:60" s="6" customFormat="1" ht="15">
      <c r="B156" s="952"/>
      <c r="E156" s="553"/>
      <c r="F156" s="513"/>
      <c r="G156" s="270"/>
      <c r="H156" s="270"/>
      <c r="I156" s="270"/>
      <c r="J156" s="270"/>
      <c r="K156" s="270"/>
      <c r="L156" s="270"/>
      <c r="M156" s="270"/>
      <c r="N156" s="270"/>
      <c r="O156" s="16"/>
      <c r="P156" s="17"/>
      <c r="Q156" s="158"/>
      <c r="R156" s="18"/>
      <c r="S156" s="18"/>
      <c r="T156" s="89"/>
      <c r="U156" s="108"/>
      <c r="V156" s="18"/>
      <c r="W156" s="10"/>
      <c r="X156" s="10"/>
      <c r="Y156" s="10"/>
      <c r="Z156" s="464"/>
      <c r="AA156" s="10"/>
      <c r="AB156" s="10"/>
      <c r="AC156" s="10"/>
      <c r="AD156" s="204"/>
      <c r="AE156" s="10"/>
      <c r="AF156" s="304"/>
      <c r="AG156" s="63"/>
      <c r="AH156" s="318"/>
      <c r="AI156" s="10"/>
      <c r="AJ156" s="10"/>
      <c r="AK156" s="10"/>
      <c r="AL156" s="339"/>
      <c r="AM156" s="63"/>
      <c r="AN156" s="10"/>
      <c r="AO156" s="10"/>
      <c r="AP156" s="63"/>
      <c r="AQ156" s="304"/>
      <c r="AR156" s="63"/>
      <c r="AS156" s="11"/>
      <c r="AT156" s="108"/>
      <c r="AU156" s="524"/>
      <c r="AV156" s="11"/>
      <c r="AW156" s="11"/>
      <c r="AX156" s="102"/>
      <c r="BA156" s="31"/>
      <c r="BB156" s="162"/>
      <c r="BC156" s="149"/>
      <c r="BD156" s="141"/>
      <c r="BE156" s="141"/>
      <c r="BF156" s="141"/>
      <c r="BG156" s="140"/>
      <c r="BH156" s="140"/>
    </row>
    <row r="157" spans="2:60" s="6" customFormat="1" ht="15">
      <c r="B157" s="952"/>
      <c r="E157" s="553"/>
      <c r="F157" s="513"/>
      <c r="G157" s="270"/>
      <c r="H157" s="270"/>
      <c r="I157" s="270"/>
      <c r="J157" s="270"/>
      <c r="K157" s="270"/>
      <c r="L157" s="270"/>
      <c r="M157" s="270"/>
      <c r="N157" s="270"/>
      <c r="O157" s="16"/>
      <c r="P157" s="17"/>
      <c r="Q157" s="158"/>
      <c r="R157" s="18"/>
      <c r="S157" s="18"/>
      <c r="T157" s="89"/>
      <c r="U157" s="108"/>
      <c r="V157" s="18"/>
      <c r="W157" s="10"/>
      <c r="X157" s="10"/>
      <c r="Y157" s="10"/>
      <c r="Z157" s="464"/>
      <c r="AA157" s="10"/>
      <c r="AB157" s="10"/>
      <c r="AC157" s="10"/>
      <c r="AD157" s="204"/>
      <c r="AE157" s="10"/>
      <c r="AF157" s="304"/>
      <c r="AG157" s="63"/>
      <c r="AH157" s="318"/>
      <c r="AI157" s="10"/>
      <c r="AJ157" s="10"/>
      <c r="AK157" s="10"/>
      <c r="AL157" s="339"/>
      <c r="AM157" s="63"/>
      <c r="AN157" s="10"/>
      <c r="AO157" s="10"/>
      <c r="AP157" s="63"/>
      <c r="AQ157" s="304"/>
      <c r="AR157" s="63"/>
      <c r="AS157" s="11"/>
      <c r="AT157" s="108"/>
      <c r="AU157" s="524"/>
      <c r="AV157" s="11"/>
      <c r="AW157" s="11"/>
      <c r="AX157" s="102"/>
      <c r="BA157" s="31"/>
      <c r="BB157" s="162"/>
      <c r="BC157" s="149"/>
      <c r="BD157" s="141"/>
      <c r="BE157" s="141"/>
      <c r="BF157" s="141"/>
      <c r="BG157" s="140"/>
      <c r="BH157" s="140"/>
    </row>
    <row r="158" spans="2:60" s="6" customFormat="1" ht="15">
      <c r="B158" s="952"/>
      <c r="E158" s="553"/>
      <c r="F158" s="513"/>
      <c r="G158" s="270"/>
      <c r="H158" s="270"/>
      <c r="I158" s="270"/>
      <c r="J158" s="270"/>
      <c r="K158" s="270"/>
      <c r="L158" s="270"/>
      <c r="M158" s="270"/>
      <c r="N158" s="270"/>
      <c r="O158" s="16"/>
      <c r="P158" s="17"/>
      <c r="Q158" s="158"/>
      <c r="R158" s="18"/>
      <c r="S158" s="18"/>
      <c r="T158" s="89"/>
      <c r="U158" s="108"/>
      <c r="V158" s="18"/>
      <c r="W158" s="10"/>
      <c r="X158" s="10"/>
      <c r="Y158" s="10"/>
      <c r="Z158" s="464"/>
      <c r="AA158" s="10"/>
      <c r="AB158" s="10"/>
      <c r="AC158" s="10"/>
      <c r="AD158" s="204"/>
      <c r="AE158" s="10"/>
      <c r="AF158" s="304"/>
      <c r="AG158" s="63"/>
      <c r="AH158" s="318"/>
      <c r="AI158" s="10"/>
      <c r="AJ158" s="10"/>
      <c r="AK158" s="10"/>
      <c r="AL158" s="339"/>
      <c r="AM158" s="63"/>
      <c r="AN158" s="10"/>
      <c r="AO158" s="10"/>
      <c r="AP158" s="63"/>
      <c r="AQ158" s="304"/>
      <c r="AR158" s="63"/>
      <c r="AS158" s="11"/>
      <c r="AT158" s="108"/>
      <c r="AU158" s="524"/>
      <c r="AV158" s="11"/>
      <c r="AW158" s="11"/>
      <c r="AX158" s="102"/>
      <c r="BA158" s="31"/>
      <c r="BB158" s="162"/>
      <c r="BC158" s="149"/>
      <c r="BD158" s="141"/>
      <c r="BE158" s="141"/>
      <c r="BF158" s="141"/>
      <c r="BG158" s="140"/>
      <c r="BH158" s="140"/>
    </row>
    <row r="159" spans="2:60" s="6" customFormat="1" ht="15">
      <c r="B159" s="952"/>
      <c r="E159" s="553"/>
      <c r="F159" s="513"/>
      <c r="G159" s="270"/>
      <c r="H159" s="270"/>
      <c r="I159" s="270"/>
      <c r="J159" s="270"/>
      <c r="K159" s="270"/>
      <c r="L159" s="270"/>
      <c r="M159" s="270"/>
      <c r="N159" s="270"/>
      <c r="O159" s="16"/>
      <c r="P159" s="17"/>
      <c r="Q159" s="158"/>
      <c r="R159" s="18"/>
      <c r="S159" s="18"/>
      <c r="T159" s="89"/>
      <c r="U159" s="108"/>
      <c r="V159" s="18"/>
      <c r="W159" s="10"/>
      <c r="X159" s="10"/>
      <c r="Y159" s="10"/>
      <c r="Z159" s="464"/>
      <c r="AA159" s="10"/>
      <c r="AB159" s="10"/>
      <c r="AC159" s="10"/>
      <c r="AD159" s="204"/>
      <c r="AE159" s="10"/>
      <c r="AF159" s="304"/>
      <c r="AG159" s="63"/>
      <c r="AH159" s="318"/>
      <c r="AI159" s="10"/>
      <c r="AJ159" s="10"/>
      <c r="AK159" s="10"/>
      <c r="AL159" s="339"/>
      <c r="AM159" s="63"/>
      <c r="AN159" s="10"/>
      <c r="AO159" s="10"/>
      <c r="AP159" s="63"/>
      <c r="AQ159" s="304"/>
      <c r="AR159" s="63"/>
      <c r="AS159" s="11"/>
      <c r="AT159" s="108"/>
      <c r="AU159" s="524"/>
      <c r="AV159" s="11"/>
      <c r="AW159" s="11"/>
      <c r="AX159" s="102"/>
      <c r="BA159" s="31"/>
      <c r="BB159" s="162"/>
      <c r="BC159" s="149"/>
      <c r="BD159" s="141"/>
      <c r="BE159" s="141"/>
      <c r="BF159" s="141"/>
      <c r="BG159" s="140"/>
      <c r="BH159" s="140"/>
    </row>
    <row r="160" spans="2:60" s="6" customFormat="1" ht="15">
      <c r="B160" s="952"/>
      <c r="E160" s="553"/>
      <c r="F160" s="513"/>
      <c r="G160" s="270"/>
      <c r="H160" s="270"/>
      <c r="I160" s="270"/>
      <c r="J160" s="270"/>
      <c r="K160" s="270"/>
      <c r="L160" s="270"/>
      <c r="M160" s="270"/>
      <c r="N160" s="270"/>
      <c r="O160" s="16"/>
      <c r="P160" s="17"/>
      <c r="Q160" s="158"/>
      <c r="R160" s="18"/>
      <c r="S160" s="18"/>
      <c r="T160" s="89"/>
      <c r="U160" s="108"/>
      <c r="V160" s="18"/>
      <c r="W160" s="10"/>
      <c r="X160" s="10"/>
      <c r="Y160" s="10"/>
      <c r="Z160" s="464"/>
      <c r="AA160" s="10"/>
      <c r="AB160" s="10"/>
      <c r="AC160" s="10"/>
      <c r="AD160" s="204"/>
      <c r="AE160" s="10"/>
      <c r="AF160" s="304"/>
      <c r="AG160" s="63"/>
      <c r="AH160" s="318"/>
      <c r="AI160" s="10"/>
      <c r="AJ160" s="10"/>
      <c r="AK160" s="10"/>
      <c r="AL160" s="339"/>
      <c r="AM160" s="63"/>
      <c r="AN160" s="10"/>
      <c r="AO160" s="10"/>
      <c r="AP160" s="63"/>
      <c r="AQ160" s="304"/>
      <c r="AR160" s="63"/>
      <c r="AS160" s="11"/>
      <c r="AT160" s="108"/>
      <c r="AU160" s="524"/>
      <c r="AV160" s="11"/>
      <c r="AW160" s="11"/>
      <c r="AX160" s="102"/>
      <c r="BA160" s="31"/>
      <c r="BB160" s="162"/>
      <c r="BC160" s="149"/>
      <c r="BD160" s="141"/>
      <c r="BE160" s="141"/>
      <c r="BF160" s="141"/>
      <c r="BG160" s="140"/>
      <c r="BH160" s="140"/>
    </row>
    <row r="161" spans="2:60" s="6" customFormat="1" ht="15">
      <c r="B161" s="952"/>
      <c r="E161" s="553"/>
      <c r="F161" s="513"/>
      <c r="G161" s="270"/>
      <c r="H161" s="270"/>
      <c r="I161" s="270"/>
      <c r="J161" s="270"/>
      <c r="K161" s="270"/>
      <c r="L161" s="270"/>
      <c r="M161" s="270"/>
      <c r="N161" s="270"/>
      <c r="O161" s="16"/>
      <c r="P161" s="17"/>
      <c r="Q161" s="158"/>
      <c r="R161" s="18"/>
      <c r="S161" s="18"/>
      <c r="T161" s="89"/>
      <c r="U161" s="108"/>
      <c r="V161" s="18"/>
      <c r="W161" s="10"/>
      <c r="X161" s="10"/>
      <c r="Y161" s="10"/>
      <c r="Z161" s="464"/>
      <c r="AA161" s="10"/>
      <c r="AB161" s="10"/>
      <c r="AC161" s="10"/>
      <c r="AD161" s="204"/>
      <c r="AE161" s="10"/>
      <c r="AF161" s="304"/>
      <c r="AG161" s="63"/>
      <c r="AH161" s="318"/>
      <c r="AI161" s="10"/>
      <c r="AJ161" s="10"/>
      <c r="AK161" s="10"/>
      <c r="AL161" s="339"/>
      <c r="AM161" s="63"/>
      <c r="AN161" s="10"/>
      <c r="AO161" s="10"/>
      <c r="AP161" s="63"/>
      <c r="AQ161" s="304"/>
      <c r="AR161" s="63"/>
      <c r="AS161" s="11"/>
      <c r="AT161" s="108"/>
      <c r="AU161" s="524"/>
      <c r="AV161" s="11"/>
      <c r="AW161" s="11"/>
      <c r="AX161" s="102"/>
      <c r="BA161" s="31"/>
      <c r="BB161" s="162"/>
      <c r="BC161" s="149"/>
      <c r="BD161" s="141"/>
      <c r="BE161" s="141"/>
      <c r="BF161" s="141"/>
      <c r="BG161" s="140"/>
      <c r="BH161" s="140"/>
    </row>
    <row r="162" spans="2:60" s="6" customFormat="1" ht="15">
      <c r="B162" s="952"/>
      <c r="E162" s="553"/>
      <c r="F162" s="513"/>
      <c r="G162" s="270"/>
      <c r="H162" s="270"/>
      <c r="I162" s="270"/>
      <c r="J162" s="270"/>
      <c r="K162" s="270"/>
      <c r="L162" s="270"/>
      <c r="M162" s="270"/>
      <c r="N162" s="270"/>
      <c r="O162" s="16"/>
      <c r="P162" s="17"/>
      <c r="Q162" s="158"/>
      <c r="R162" s="18"/>
      <c r="S162" s="18"/>
      <c r="T162" s="89"/>
      <c r="U162" s="108"/>
      <c r="V162" s="18"/>
      <c r="W162" s="10"/>
      <c r="X162" s="10"/>
      <c r="Y162" s="10"/>
      <c r="Z162" s="464"/>
      <c r="AA162" s="10"/>
      <c r="AB162" s="10"/>
      <c r="AC162" s="10"/>
      <c r="AD162" s="204"/>
      <c r="AE162" s="10"/>
      <c r="AF162" s="304"/>
      <c r="AG162" s="63"/>
      <c r="AH162" s="318"/>
      <c r="AI162" s="10"/>
      <c r="AJ162" s="10"/>
      <c r="AK162" s="10"/>
      <c r="AL162" s="339"/>
      <c r="AM162" s="63"/>
      <c r="AN162" s="10"/>
      <c r="AO162" s="10"/>
      <c r="AP162" s="63"/>
      <c r="AQ162" s="304"/>
      <c r="AR162" s="63"/>
      <c r="AS162" s="11"/>
      <c r="AT162" s="108"/>
      <c r="AU162" s="524"/>
      <c r="AV162" s="11"/>
      <c r="AW162" s="11"/>
      <c r="AX162" s="102"/>
      <c r="BA162" s="31"/>
      <c r="BB162" s="162"/>
      <c r="BC162" s="149"/>
      <c r="BD162" s="141"/>
      <c r="BE162" s="141"/>
      <c r="BF162" s="141"/>
      <c r="BG162" s="140"/>
      <c r="BH162" s="140"/>
    </row>
    <row r="163" spans="2:60" s="6" customFormat="1" ht="15">
      <c r="B163" s="952"/>
      <c r="E163" s="553"/>
      <c r="F163" s="513"/>
      <c r="G163" s="270"/>
      <c r="H163" s="270"/>
      <c r="I163" s="270"/>
      <c r="J163" s="270"/>
      <c r="K163" s="270"/>
      <c r="L163" s="270"/>
      <c r="M163" s="270"/>
      <c r="N163" s="270"/>
      <c r="O163" s="16"/>
      <c r="P163" s="17"/>
      <c r="Q163" s="158"/>
      <c r="R163" s="18"/>
      <c r="S163" s="18"/>
      <c r="T163" s="89"/>
      <c r="U163" s="108"/>
      <c r="V163" s="18"/>
      <c r="W163" s="10"/>
      <c r="X163" s="10"/>
      <c r="Y163" s="10"/>
      <c r="Z163" s="464"/>
      <c r="AA163" s="10"/>
      <c r="AB163" s="10"/>
      <c r="AC163" s="10"/>
      <c r="AD163" s="204"/>
      <c r="AE163" s="10"/>
      <c r="AF163" s="304"/>
      <c r="AG163" s="63"/>
      <c r="AH163" s="318"/>
      <c r="AI163" s="10"/>
      <c r="AJ163" s="10"/>
      <c r="AK163" s="10"/>
      <c r="AL163" s="339"/>
      <c r="AM163" s="63"/>
      <c r="AN163" s="10"/>
      <c r="AO163" s="10"/>
      <c r="AP163" s="63"/>
      <c r="AQ163" s="304"/>
      <c r="AR163" s="63"/>
      <c r="AS163" s="11"/>
      <c r="AT163" s="108"/>
      <c r="AU163" s="524"/>
      <c r="AV163" s="11"/>
      <c r="AW163" s="11"/>
      <c r="AX163" s="102"/>
      <c r="BA163" s="31"/>
      <c r="BB163" s="162"/>
      <c r="BC163" s="149"/>
      <c r="BD163" s="141"/>
      <c r="BE163" s="141"/>
      <c r="BF163" s="141"/>
      <c r="BG163" s="140"/>
      <c r="BH163" s="140"/>
    </row>
    <row r="164" spans="2:60" s="6" customFormat="1" ht="15">
      <c r="B164" s="952"/>
      <c r="E164" s="553"/>
      <c r="F164" s="513"/>
      <c r="G164" s="270"/>
      <c r="H164" s="270"/>
      <c r="I164" s="270"/>
      <c r="J164" s="270"/>
      <c r="K164" s="270"/>
      <c r="L164" s="270"/>
      <c r="M164" s="270"/>
      <c r="N164" s="270"/>
      <c r="O164" s="16"/>
      <c r="P164" s="17"/>
      <c r="Q164" s="158"/>
      <c r="R164" s="18"/>
      <c r="S164" s="18"/>
      <c r="T164" s="89"/>
      <c r="U164" s="108"/>
      <c r="V164" s="18"/>
      <c r="W164" s="10"/>
      <c r="X164" s="10"/>
      <c r="Y164" s="10"/>
      <c r="Z164" s="464"/>
      <c r="AA164" s="10"/>
      <c r="AB164" s="10"/>
      <c r="AC164" s="10"/>
      <c r="AD164" s="204"/>
      <c r="AE164" s="10"/>
      <c r="AF164" s="304"/>
      <c r="AG164" s="63"/>
      <c r="AH164" s="318"/>
      <c r="AI164" s="10"/>
      <c r="AJ164" s="10"/>
      <c r="AK164" s="10"/>
      <c r="AL164" s="339"/>
      <c r="AM164" s="63"/>
      <c r="AN164" s="10"/>
      <c r="AO164" s="10"/>
      <c r="AP164" s="63"/>
      <c r="AQ164" s="304"/>
      <c r="AR164" s="63"/>
      <c r="AS164" s="11"/>
      <c r="AT164" s="108"/>
      <c r="AU164" s="524"/>
      <c r="AV164" s="11"/>
      <c r="AW164" s="11"/>
      <c r="AX164" s="102"/>
      <c r="BA164" s="31"/>
      <c r="BB164" s="162"/>
      <c r="BC164" s="149"/>
      <c r="BD164" s="141"/>
      <c r="BE164" s="141"/>
      <c r="BF164" s="141"/>
      <c r="BG164" s="140"/>
      <c r="BH164" s="140"/>
    </row>
    <row r="165" spans="2:60" s="6" customFormat="1" ht="15">
      <c r="B165" s="952"/>
      <c r="E165" s="553"/>
      <c r="F165" s="513"/>
      <c r="G165" s="270"/>
      <c r="H165" s="270"/>
      <c r="I165" s="270"/>
      <c r="J165" s="270"/>
      <c r="K165" s="270"/>
      <c r="L165" s="270"/>
      <c r="M165" s="270"/>
      <c r="N165" s="270"/>
      <c r="O165" s="16"/>
      <c r="P165" s="17"/>
      <c r="Q165" s="158"/>
      <c r="R165" s="18"/>
      <c r="S165" s="18"/>
      <c r="T165" s="89"/>
      <c r="U165" s="108"/>
      <c r="V165" s="18"/>
      <c r="W165" s="10"/>
      <c r="X165" s="10"/>
      <c r="Y165" s="10"/>
      <c r="Z165" s="464"/>
      <c r="AA165" s="10"/>
      <c r="AB165" s="10"/>
      <c r="AC165" s="10"/>
      <c r="AD165" s="204"/>
      <c r="AE165" s="10"/>
      <c r="AF165" s="304"/>
      <c r="AG165" s="63"/>
      <c r="AH165" s="318"/>
      <c r="AI165" s="10"/>
      <c r="AJ165" s="10"/>
      <c r="AK165" s="10"/>
      <c r="AL165" s="339"/>
      <c r="AM165" s="63"/>
      <c r="AN165" s="10"/>
      <c r="AO165" s="10"/>
      <c r="AP165" s="63"/>
      <c r="AQ165" s="304"/>
      <c r="AR165" s="63"/>
      <c r="AS165" s="11"/>
      <c r="AT165" s="108"/>
      <c r="AU165" s="524"/>
      <c r="AV165" s="11"/>
      <c r="AW165" s="11"/>
      <c r="AX165" s="102"/>
      <c r="BA165" s="31"/>
      <c r="BB165" s="162"/>
      <c r="BC165" s="149"/>
      <c r="BD165" s="141"/>
      <c r="BE165" s="141"/>
      <c r="BF165" s="141"/>
      <c r="BG165" s="140"/>
      <c r="BH165" s="140"/>
    </row>
    <row r="166" spans="2:60" s="6" customFormat="1" ht="15">
      <c r="B166" s="952"/>
      <c r="E166" s="553"/>
      <c r="F166" s="513"/>
      <c r="G166" s="270"/>
      <c r="H166" s="270"/>
      <c r="I166" s="270"/>
      <c r="J166" s="270"/>
      <c r="K166" s="270"/>
      <c r="L166" s="270"/>
      <c r="M166" s="270"/>
      <c r="N166" s="270"/>
      <c r="O166" s="16"/>
      <c r="P166" s="17"/>
      <c r="Q166" s="158"/>
      <c r="R166" s="18"/>
      <c r="S166" s="18"/>
      <c r="T166" s="89"/>
      <c r="U166" s="108"/>
      <c r="V166" s="18"/>
      <c r="W166" s="10"/>
      <c r="X166" s="10"/>
      <c r="Y166" s="10"/>
      <c r="Z166" s="464"/>
      <c r="AA166" s="10"/>
      <c r="AB166" s="10"/>
      <c r="AC166" s="10"/>
      <c r="AD166" s="204"/>
      <c r="AE166" s="10"/>
      <c r="AF166" s="304"/>
      <c r="AG166" s="63"/>
      <c r="AH166" s="318"/>
      <c r="AI166" s="10"/>
      <c r="AJ166" s="10"/>
      <c r="AK166" s="10"/>
      <c r="AL166" s="339"/>
      <c r="AM166" s="63"/>
      <c r="AN166" s="10"/>
      <c r="AO166" s="10"/>
      <c r="AP166" s="63"/>
      <c r="AQ166" s="304"/>
      <c r="AR166" s="63"/>
      <c r="AS166" s="11"/>
      <c r="AT166" s="108"/>
      <c r="AU166" s="524"/>
      <c r="AV166" s="11"/>
      <c r="AW166" s="11"/>
      <c r="AX166" s="102"/>
      <c r="BA166" s="31"/>
      <c r="BB166" s="162"/>
      <c r="BC166" s="149"/>
      <c r="BD166" s="141"/>
      <c r="BE166" s="141"/>
      <c r="BF166" s="141"/>
      <c r="BG166" s="140"/>
      <c r="BH166" s="140"/>
    </row>
    <row r="167" spans="2:60" s="6" customFormat="1" ht="15">
      <c r="B167" s="952"/>
      <c r="E167" s="553"/>
      <c r="F167" s="513"/>
      <c r="G167" s="270"/>
      <c r="H167" s="270"/>
      <c r="I167" s="270"/>
      <c r="J167" s="270"/>
      <c r="K167" s="270"/>
      <c r="L167" s="270"/>
      <c r="M167" s="270"/>
      <c r="N167" s="270"/>
      <c r="O167" s="16"/>
      <c r="P167" s="17"/>
      <c r="Q167" s="158"/>
      <c r="R167" s="18"/>
      <c r="S167" s="18"/>
      <c r="T167" s="89"/>
      <c r="U167" s="108"/>
      <c r="V167" s="18"/>
      <c r="W167" s="10"/>
      <c r="X167" s="10"/>
      <c r="Y167" s="10"/>
      <c r="Z167" s="464"/>
      <c r="AA167" s="10"/>
      <c r="AB167" s="10"/>
      <c r="AC167" s="10"/>
      <c r="AD167" s="204"/>
      <c r="AE167" s="10"/>
      <c r="AF167" s="304"/>
      <c r="AG167" s="63"/>
      <c r="AH167" s="318"/>
      <c r="AI167" s="10"/>
      <c r="AJ167" s="10"/>
      <c r="AK167" s="10"/>
      <c r="AL167" s="339"/>
      <c r="AM167" s="63"/>
      <c r="AN167" s="10"/>
      <c r="AO167" s="10"/>
      <c r="AP167" s="63"/>
      <c r="AQ167" s="304"/>
      <c r="AR167" s="63"/>
      <c r="AS167" s="11"/>
      <c r="AT167" s="108"/>
      <c r="AU167" s="524"/>
      <c r="AV167" s="11"/>
      <c r="AW167" s="11"/>
      <c r="AX167" s="102"/>
      <c r="BA167" s="31"/>
      <c r="BB167" s="162"/>
      <c r="BC167" s="149"/>
      <c r="BD167" s="141"/>
      <c r="BE167" s="141"/>
      <c r="BF167" s="141"/>
      <c r="BG167" s="140"/>
      <c r="BH167" s="140"/>
    </row>
    <row r="168" spans="2:60" s="6" customFormat="1" ht="15">
      <c r="B168" s="952"/>
      <c r="E168" s="553"/>
      <c r="F168" s="513"/>
      <c r="G168" s="270"/>
      <c r="H168" s="270"/>
      <c r="I168" s="270"/>
      <c r="J168" s="270"/>
      <c r="K168" s="270"/>
      <c r="L168" s="270"/>
      <c r="M168" s="270"/>
      <c r="N168" s="270"/>
      <c r="O168" s="16"/>
      <c r="P168" s="17"/>
      <c r="Q168" s="158"/>
      <c r="R168" s="18"/>
      <c r="S168" s="18"/>
      <c r="T168" s="89"/>
      <c r="U168" s="108"/>
      <c r="V168" s="18"/>
      <c r="W168" s="10"/>
      <c r="X168" s="10"/>
      <c r="Y168" s="10"/>
      <c r="Z168" s="464"/>
      <c r="AA168" s="10"/>
      <c r="AB168" s="10"/>
      <c r="AC168" s="10"/>
      <c r="AD168" s="204"/>
      <c r="AE168" s="10"/>
      <c r="AF168" s="304"/>
      <c r="AG168" s="63"/>
      <c r="AH168" s="318"/>
      <c r="AI168" s="10"/>
      <c r="AJ168" s="10"/>
      <c r="AK168" s="10"/>
      <c r="AL168" s="339"/>
      <c r="AM168" s="63"/>
      <c r="AN168" s="10"/>
      <c r="AO168" s="10"/>
      <c r="AP168" s="63"/>
      <c r="AQ168" s="304"/>
      <c r="AR168" s="63"/>
      <c r="AS168" s="11"/>
      <c r="AT168" s="108"/>
      <c r="AU168" s="524"/>
      <c r="AV168" s="11"/>
      <c r="AW168" s="11"/>
      <c r="AX168" s="102"/>
      <c r="BA168" s="31"/>
      <c r="BB168" s="162"/>
      <c r="BC168" s="149"/>
      <c r="BD168" s="141"/>
      <c r="BE168" s="141"/>
      <c r="BF168" s="141"/>
      <c r="BG168" s="140"/>
      <c r="BH168" s="140"/>
    </row>
    <row r="169" spans="2:60" s="6" customFormat="1" ht="15">
      <c r="B169" s="952"/>
      <c r="E169" s="553"/>
      <c r="F169" s="513"/>
      <c r="G169" s="270"/>
      <c r="H169" s="270"/>
      <c r="I169" s="270"/>
      <c r="J169" s="270"/>
      <c r="K169" s="270"/>
      <c r="L169" s="270"/>
      <c r="M169" s="270"/>
      <c r="N169" s="270"/>
      <c r="O169" s="16"/>
      <c r="P169" s="17"/>
      <c r="Q169" s="158"/>
      <c r="R169" s="18"/>
      <c r="S169" s="18"/>
      <c r="T169" s="89"/>
      <c r="U169" s="108"/>
      <c r="V169" s="18"/>
      <c r="W169" s="10"/>
      <c r="X169" s="10"/>
      <c r="Y169" s="10"/>
      <c r="Z169" s="464"/>
      <c r="AA169" s="10"/>
      <c r="AB169" s="10"/>
      <c r="AC169" s="10"/>
      <c r="AD169" s="204"/>
      <c r="AE169" s="10"/>
      <c r="AF169" s="304"/>
      <c r="AG169" s="63"/>
      <c r="AH169" s="318"/>
      <c r="AI169" s="10"/>
      <c r="AJ169" s="10"/>
      <c r="AK169" s="10"/>
      <c r="AL169" s="339"/>
      <c r="AM169" s="63"/>
      <c r="AN169" s="10"/>
      <c r="AO169" s="10"/>
      <c r="AP169" s="63"/>
      <c r="AQ169" s="304"/>
      <c r="AR169" s="63"/>
      <c r="AS169" s="11"/>
      <c r="AT169" s="108"/>
      <c r="AU169" s="524"/>
      <c r="AV169" s="11"/>
      <c r="AW169" s="11"/>
      <c r="AX169" s="102"/>
      <c r="BA169" s="31"/>
      <c r="BB169" s="162"/>
      <c r="BC169" s="149"/>
      <c r="BD169" s="141"/>
      <c r="BE169" s="141"/>
      <c r="BF169" s="141"/>
      <c r="BG169" s="140"/>
      <c r="BH169" s="140"/>
    </row>
    <row r="170" spans="2:60" s="6" customFormat="1" ht="15">
      <c r="B170" s="952"/>
      <c r="E170" s="553"/>
      <c r="F170" s="513"/>
      <c r="G170" s="270"/>
      <c r="H170" s="270"/>
      <c r="I170" s="270"/>
      <c r="J170" s="270"/>
      <c r="K170" s="270"/>
      <c r="L170" s="270"/>
      <c r="M170" s="270"/>
      <c r="N170" s="270"/>
      <c r="O170" s="16"/>
      <c r="P170" s="17"/>
      <c r="Q170" s="158"/>
      <c r="R170" s="18"/>
      <c r="S170" s="18"/>
      <c r="T170" s="89"/>
      <c r="U170" s="108"/>
      <c r="V170" s="18"/>
      <c r="W170" s="10"/>
      <c r="X170" s="10"/>
      <c r="Y170" s="10"/>
      <c r="Z170" s="464"/>
      <c r="AA170" s="10"/>
      <c r="AB170" s="10"/>
      <c r="AC170" s="10"/>
      <c r="AD170" s="204"/>
      <c r="AE170" s="10"/>
      <c r="AF170" s="304"/>
      <c r="AG170" s="63"/>
      <c r="AH170" s="318"/>
      <c r="AI170" s="10"/>
      <c r="AJ170" s="10"/>
      <c r="AK170" s="10"/>
      <c r="AL170" s="339"/>
      <c r="AM170" s="63"/>
      <c r="AN170" s="10"/>
      <c r="AO170" s="10"/>
      <c r="AP170" s="63"/>
      <c r="AQ170" s="304"/>
      <c r="AR170" s="63"/>
      <c r="AS170" s="11"/>
      <c r="AT170" s="108"/>
      <c r="AU170" s="524"/>
      <c r="AV170" s="11"/>
      <c r="AW170" s="11"/>
      <c r="AX170" s="102"/>
      <c r="BA170" s="31"/>
      <c r="BB170" s="162"/>
      <c r="BC170" s="149"/>
      <c r="BD170" s="141"/>
      <c r="BE170" s="141"/>
      <c r="BF170" s="141"/>
      <c r="BG170" s="140"/>
      <c r="BH170" s="140"/>
    </row>
    <row r="171" spans="2:60" s="6" customFormat="1" ht="15">
      <c r="B171" s="952"/>
      <c r="E171" s="553"/>
      <c r="F171" s="513"/>
      <c r="G171" s="270"/>
      <c r="H171" s="270"/>
      <c r="I171" s="270"/>
      <c r="J171" s="270"/>
      <c r="K171" s="270"/>
      <c r="L171" s="270"/>
      <c r="M171" s="270"/>
      <c r="N171" s="270"/>
      <c r="O171" s="16"/>
      <c r="P171" s="17"/>
      <c r="Q171" s="158"/>
      <c r="R171" s="18"/>
      <c r="S171" s="18"/>
      <c r="T171" s="89"/>
      <c r="U171" s="108"/>
      <c r="V171" s="18"/>
      <c r="W171" s="10"/>
      <c r="X171" s="10"/>
      <c r="Y171" s="10"/>
      <c r="Z171" s="464"/>
      <c r="AA171" s="10"/>
      <c r="AB171" s="10"/>
      <c r="AC171" s="10"/>
      <c r="AD171" s="204"/>
      <c r="AE171" s="10"/>
      <c r="AF171" s="304"/>
      <c r="AG171" s="63"/>
      <c r="AH171" s="318"/>
      <c r="AI171" s="10"/>
      <c r="AJ171" s="10"/>
      <c r="AK171" s="10"/>
      <c r="AL171" s="339"/>
      <c r="AM171" s="63"/>
      <c r="AN171" s="10"/>
      <c r="AO171" s="10"/>
      <c r="AP171" s="63"/>
      <c r="AQ171" s="304"/>
      <c r="AR171" s="63"/>
      <c r="AS171" s="11"/>
      <c r="AT171" s="108"/>
      <c r="AU171" s="524"/>
      <c r="AV171" s="11"/>
      <c r="AW171" s="11"/>
      <c r="AX171" s="102"/>
      <c r="BA171" s="31"/>
      <c r="BB171" s="162"/>
      <c r="BC171" s="149"/>
      <c r="BD171" s="141"/>
      <c r="BE171" s="141"/>
      <c r="BF171" s="141"/>
      <c r="BG171" s="140"/>
      <c r="BH171" s="140"/>
    </row>
    <row r="172" spans="2:60" s="6" customFormat="1" ht="15">
      <c r="B172" s="952"/>
      <c r="E172" s="553"/>
      <c r="F172" s="513"/>
      <c r="G172" s="270"/>
      <c r="H172" s="270"/>
      <c r="I172" s="270"/>
      <c r="J172" s="270"/>
      <c r="K172" s="270"/>
      <c r="L172" s="270"/>
      <c r="M172" s="270"/>
      <c r="N172" s="270"/>
      <c r="O172" s="16"/>
      <c r="P172" s="17"/>
      <c r="Q172" s="158"/>
      <c r="R172" s="18"/>
      <c r="S172" s="18"/>
      <c r="T172" s="89"/>
      <c r="U172" s="108"/>
      <c r="V172" s="18"/>
      <c r="W172" s="10"/>
      <c r="X172" s="10"/>
      <c r="Y172" s="10"/>
      <c r="Z172" s="464"/>
      <c r="AA172" s="10"/>
      <c r="AB172" s="10"/>
      <c r="AC172" s="10"/>
      <c r="AD172" s="204"/>
      <c r="AE172" s="10"/>
      <c r="AF172" s="304"/>
      <c r="AG172" s="63"/>
      <c r="AH172" s="318"/>
      <c r="AI172" s="10"/>
      <c r="AJ172" s="10"/>
      <c r="AK172" s="10"/>
      <c r="AL172" s="339"/>
      <c r="AM172" s="63"/>
      <c r="AN172" s="10"/>
      <c r="AO172" s="10"/>
      <c r="AP172" s="63"/>
      <c r="AQ172" s="304"/>
      <c r="AR172" s="63"/>
      <c r="AS172" s="11"/>
      <c r="AT172" s="108"/>
      <c r="AU172" s="524"/>
      <c r="AV172" s="11"/>
      <c r="AW172" s="11"/>
      <c r="AX172" s="102"/>
      <c r="BA172" s="31"/>
      <c r="BB172" s="162"/>
      <c r="BC172" s="149"/>
      <c r="BD172" s="141"/>
      <c r="BE172" s="141"/>
      <c r="BF172" s="141"/>
      <c r="BG172" s="140"/>
      <c r="BH172" s="140"/>
    </row>
    <row r="173" spans="2:60" s="6" customFormat="1" ht="15">
      <c r="B173" s="952"/>
      <c r="E173" s="553"/>
      <c r="F173" s="513"/>
      <c r="G173" s="270"/>
      <c r="H173" s="270"/>
      <c r="I173" s="270"/>
      <c r="J173" s="270"/>
      <c r="K173" s="270"/>
      <c r="L173" s="270"/>
      <c r="M173" s="270"/>
      <c r="N173" s="270"/>
      <c r="O173" s="16"/>
      <c r="P173" s="17"/>
      <c r="Q173" s="158"/>
      <c r="R173" s="18"/>
      <c r="S173" s="18"/>
      <c r="T173" s="89"/>
      <c r="U173" s="108"/>
      <c r="V173" s="18"/>
      <c r="W173" s="10"/>
      <c r="X173" s="10"/>
      <c r="Y173" s="10"/>
      <c r="Z173" s="464"/>
      <c r="AA173" s="10"/>
      <c r="AB173" s="10"/>
      <c r="AC173" s="10"/>
      <c r="AD173" s="204"/>
      <c r="AE173" s="10"/>
      <c r="AF173" s="304"/>
      <c r="AG173" s="63"/>
      <c r="AH173" s="318"/>
      <c r="AI173" s="10"/>
      <c r="AJ173" s="10"/>
      <c r="AK173" s="10"/>
      <c r="AL173" s="339"/>
      <c r="AM173" s="63"/>
      <c r="AN173" s="10"/>
      <c r="AO173" s="10"/>
      <c r="AP173" s="63"/>
      <c r="AQ173" s="304"/>
      <c r="AR173" s="63"/>
      <c r="AS173" s="11"/>
      <c r="AT173" s="108"/>
      <c r="AU173" s="524"/>
      <c r="AV173" s="11"/>
      <c r="AW173" s="11"/>
      <c r="AX173" s="102"/>
      <c r="BA173" s="31"/>
      <c r="BB173" s="162"/>
      <c r="BC173" s="149"/>
      <c r="BD173" s="141"/>
      <c r="BE173" s="141"/>
      <c r="BF173" s="141"/>
      <c r="BG173" s="140"/>
      <c r="BH173" s="140"/>
    </row>
    <row r="174" spans="2:60" s="6" customFormat="1" ht="15">
      <c r="B174" s="952"/>
      <c r="E174" s="553"/>
      <c r="F174" s="513"/>
      <c r="G174" s="270"/>
      <c r="H174" s="270"/>
      <c r="I174" s="270"/>
      <c r="J174" s="270"/>
      <c r="K174" s="270"/>
      <c r="L174" s="270"/>
      <c r="M174" s="270"/>
      <c r="N174" s="270"/>
      <c r="O174" s="16"/>
      <c r="P174" s="17"/>
      <c r="Q174" s="158"/>
      <c r="R174" s="18"/>
      <c r="S174" s="18"/>
      <c r="T174" s="89"/>
      <c r="U174" s="108"/>
      <c r="V174" s="18"/>
      <c r="W174" s="10"/>
      <c r="X174" s="10"/>
      <c r="Y174" s="10"/>
      <c r="Z174" s="464"/>
      <c r="AA174" s="10"/>
      <c r="AB174" s="10"/>
      <c r="AC174" s="10"/>
      <c r="AD174" s="204"/>
      <c r="AE174" s="10"/>
      <c r="AF174" s="304"/>
      <c r="AG174" s="63"/>
      <c r="AH174" s="318"/>
      <c r="AI174" s="10"/>
      <c r="AJ174" s="10"/>
      <c r="AK174" s="10"/>
      <c r="AL174" s="339"/>
      <c r="AM174" s="63"/>
      <c r="AN174" s="10"/>
      <c r="AO174" s="10"/>
      <c r="AP174" s="63"/>
      <c r="AQ174" s="304"/>
      <c r="AR174" s="63"/>
      <c r="AS174" s="11"/>
      <c r="AT174" s="108"/>
      <c r="AU174" s="524"/>
      <c r="AV174" s="11"/>
      <c r="AW174" s="11"/>
      <c r="AX174" s="102"/>
      <c r="BA174" s="31"/>
      <c r="BB174" s="162"/>
      <c r="BC174" s="149"/>
      <c r="BD174" s="141"/>
      <c r="BE174" s="141"/>
      <c r="BF174" s="141"/>
      <c r="BG174" s="140"/>
      <c r="BH174" s="140"/>
    </row>
    <row r="175" spans="2:60" s="6" customFormat="1" ht="15">
      <c r="B175" s="952"/>
      <c r="E175" s="553"/>
      <c r="F175" s="513"/>
      <c r="G175" s="270"/>
      <c r="H175" s="270"/>
      <c r="I175" s="270"/>
      <c r="J175" s="270"/>
      <c r="K175" s="270"/>
      <c r="L175" s="270"/>
      <c r="M175" s="270"/>
      <c r="N175" s="270"/>
      <c r="O175" s="16"/>
      <c r="P175" s="17"/>
      <c r="Q175" s="158"/>
      <c r="R175" s="18"/>
      <c r="S175" s="18"/>
      <c r="T175" s="89"/>
      <c r="U175" s="108"/>
      <c r="V175" s="18"/>
      <c r="W175" s="10"/>
      <c r="X175" s="10"/>
      <c r="Y175" s="10"/>
      <c r="Z175" s="464"/>
      <c r="AA175" s="10"/>
      <c r="AB175" s="10"/>
      <c r="AC175" s="10"/>
      <c r="AD175" s="204"/>
      <c r="AE175" s="10"/>
      <c r="AF175" s="304"/>
      <c r="AG175" s="63"/>
      <c r="AH175" s="318"/>
      <c r="AI175" s="10"/>
      <c r="AJ175" s="10"/>
      <c r="AK175" s="10"/>
      <c r="AL175" s="339"/>
      <c r="AM175" s="63"/>
      <c r="AN175" s="10"/>
      <c r="AO175" s="10"/>
      <c r="AP175" s="63"/>
      <c r="AQ175" s="304"/>
      <c r="AR175" s="63"/>
      <c r="AS175" s="11"/>
      <c r="AT175" s="108"/>
      <c r="AU175" s="524"/>
      <c r="AV175" s="11"/>
      <c r="AW175" s="11"/>
      <c r="AX175" s="102"/>
      <c r="BA175" s="31"/>
      <c r="BB175" s="162"/>
      <c r="BC175" s="149"/>
      <c r="BD175" s="141"/>
      <c r="BE175" s="141"/>
      <c r="BF175" s="141"/>
      <c r="BG175" s="140"/>
      <c r="BH175" s="140"/>
    </row>
    <row r="176" spans="2:60" s="6" customFormat="1" ht="15">
      <c r="B176" s="952"/>
      <c r="E176" s="553"/>
      <c r="F176" s="513"/>
      <c r="G176" s="270"/>
      <c r="H176" s="270"/>
      <c r="I176" s="270"/>
      <c r="J176" s="270"/>
      <c r="K176" s="270"/>
      <c r="L176" s="270"/>
      <c r="M176" s="270"/>
      <c r="N176" s="270"/>
      <c r="O176" s="16"/>
      <c r="P176" s="17"/>
      <c r="Q176" s="158"/>
      <c r="R176" s="18"/>
      <c r="S176" s="18"/>
      <c r="T176" s="89"/>
      <c r="U176" s="108"/>
      <c r="V176" s="18"/>
      <c r="W176" s="10"/>
      <c r="X176" s="10"/>
      <c r="Y176" s="10"/>
      <c r="Z176" s="464"/>
      <c r="AA176" s="10"/>
      <c r="AB176" s="10"/>
      <c r="AC176" s="10"/>
      <c r="AD176" s="204"/>
      <c r="AE176" s="10"/>
      <c r="AF176" s="304"/>
      <c r="AG176" s="63"/>
      <c r="AH176" s="318"/>
      <c r="AI176" s="10"/>
      <c r="AJ176" s="10"/>
      <c r="AK176" s="10"/>
      <c r="AL176" s="339"/>
      <c r="AM176" s="63"/>
      <c r="AN176" s="10"/>
      <c r="AO176" s="10"/>
      <c r="AP176" s="63"/>
      <c r="AQ176" s="304"/>
      <c r="AR176" s="63"/>
      <c r="AS176" s="11"/>
      <c r="AT176" s="108"/>
      <c r="AU176" s="524"/>
      <c r="AV176" s="11"/>
      <c r="AW176" s="11"/>
      <c r="AX176" s="102"/>
      <c r="BA176" s="31"/>
      <c r="BB176" s="162"/>
      <c r="BC176" s="149"/>
      <c r="BD176" s="141"/>
      <c r="BE176" s="141"/>
      <c r="BF176" s="141"/>
      <c r="BG176" s="140"/>
      <c r="BH176" s="140"/>
    </row>
    <row r="177" spans="2:60" s="6" customFormat="1" ht="15">
      <c r="B177" s="952"/>
      <c r="E177" s="553"/>
      <c r="F177" s="513"/>
      <c r="G177" s="270"/>
      <c r="H177" s="270"/>
      <c r="I177" s="270"/>
      <c r="J177" s="270"/>
      <c r="K177" s="270"/>
      <c r="L177" s="270"/>
      <c r="M177" s="270"/>
      <c r="N177" s="270"/>
      <c r="O177" s="16"/>
      <c r="P177" s="17"/>
      <c r="Q177" s="158"/>
      <c r="R177" s="18"/>
      <c r="S177" s="18"/>
      <c r="T177" s="89"/>
      <c r="U177" s="108"/>
      <c r="V177" s="18"/>
      <c r="W177" s="10"/>
      <c r="X177" s="10"/>
      <c r="Y177" s="10"/>
      <c r="Z177" s="464"/>
      <c r="AA177" s="10"/>
      <c r="AB177" s="10"/>
      <c r="AC177" s="10"/>
      <c r="AD177" s="204"/>
      <c r="AE177" s="10"/>
      <c r="AF177" s="304"/>
      <c r="AG177" s="63"/>
      <c r="AH177" s="318"/>
      <c r="AI177" s="10"/>
      <c r="AJ177" s="10"/>
      <c r="AK177" s="10"/>
      <c r="AL177" s="339"/>
      <c r="AM177" s="63"/>
      <c r="AN177" s="10"/>
      <c r="AO177" s="10"/>
      <c r="AP177" s="63"/>
      <c r="AQ177" s="304"/>
      <c r="AR177" s="63"/>
      <c r="AS177" s="11"/>
      <c r="AT177" s="108"/>
      <c r="AU177" s="524"/>
      <c r="AV177" s="11"/>
      <c r="AW177" s="11"/>
      <c r="AX177" s="102"/>
      <c r="BA177" s="31"/>
      <c r="BB177" s="162"/>
      <c r="BC177" s="149"/>
      <c r="BD177" s="141"/>
      <c r="BE177" s="141"/>
      <c r="BF177" s="141"/>
      <c r="BG177" s="140"/>
      <c r="BH177" s="140"/>
    </row>
    <row r="178" spans="2:60" s="6" customFormat="1" ht="15">
      <c r="B178" s="952"/>
      <c r="E178" s="553"/>
      <c r="F178" s="513"/>
      <c r="G178" s="270"/>
      <c r="H178" s="270"/>
      <c r="I178" s="270"/>
      <c r="J178" s="270"/>
      <c r="K178" s="270"/>
      <c r="L178" s="270"/>
      <c r="M178" s="270"/>
      <c r="N178" s="270"/>
      <c r="O178" s="16"/>
      <c r="P178" s="17"/>
      <c r="Q178" s="158"/>
      <c r="R178" s="18"/>
      <c r="S178" s="18"/>
      <c r="T178" s="89"/>
      <c r="U178" s="108"/>
      <c r="V178" s="18"/>
      <c r="W178" s="10"/>
      <c r="X178" s="10"/>
      <c r="Y178" s="10"/>
      <c r="Z178" s="464"/>
      <c r="AA178" s="10"/>
      <c r="AB178" s="10"/>
      <c r="AC178" s="10"/>
      <c r="AD178" s="204"/>
      <c r="AE178" s="10"/>
      <c r="AF178" s="304"/>
      <c r="AG178" s="63"/>
      <c r="AH178" s="318"/>
      <c r="AI178" s="10"/>
      <c r="AJ178" s="10"/>
      <c r="AK178" s="10"/>
      <c r="AL178" s="339"/>
      <c r="AM178" s="63"/>
      <c r="AN178" s="10"/>
      <c r="AO178" s="10"/>
      <c r="AP178" s="63"/>
      <c r="AQ178" s="304"/>
      <c r="AR178" s="63"/>
      <c r="AS178" s="11"/>
      <c r="AT178" s="108"/>
      <c r="AU178" s="524"/>
      <c r="AV178" s="11"/>
      <c r="AW178" s="11"/>
      <c r="AX178" s="102"/>
      <c r="BA178" s="31"/>
      <c r="BB178" s="162"/>
      <c r="BC178" s="149"/>
      <c r="BD178" s="141"/>
      <c r="BE178" s="141"/>
      <c r="BF178" s="141"/>
      <c r="BG178" s="140"/>
      <c r="BH178" s="140"/>
    </row>
    <row r="179" spans="2:60" s="6" customFormat="1" ht="15">
      <c r="B179" s="952"/>
      <c r="E179" s="553"/>
      <c r="F179" s="513"/>
      <c r="G179" s="270"/>
      <c r="H179" s="270"/>
      <c r="I179" s="270"/>
      <c r="J179" s="270"/>
      <c r="K179" s="270"/>
      <c r="L179" s="270"/>
      <c r="M179" s="270"/>
      <c r="N179" s="270"/>
      <c r="O179" s="16"/>
      <c r="P179" s="17"/>
      <c r="Q179" s="158"/>
      <c r="R179" s="18"/>
      <c r="S179" s="18"/>
      <c r="T179" s="89"/>
      <c r="U179" s="108"/>
      <c r="V179" s="18"/>
      <c r="W179" s="10"/>
      <c r="X179" s="10"/>
      <c r="Y179" s="10"/>
      <c r="Z179" s="464"/>
      <c r="AA179" s="10"/>
      <c r="AB179" s="10"/>
      <c r="AC179" s="10"/>
      <c r="AD179" s="204"/>
      <c r="AE179" s="10"/>
      <c r="AF179" s="304"/>
      <c r="AG179" s="63"/>
      <c r="AH179" s="318"/>
      <c r="AI179" s="10"/>
      <c r="AJ179" s="10"/>
      <c r="AK179" s="10"/>
      <c r="AL179" s="339"/>
      <c r="AM179" s="63"/>
      <c r="AN179" s="10"/>
      <c r="AO179" s="10"/>
      <c r="AP179" s="63"/>
      <c r="AQ179" s="304"/>
      <c r="AR179" s="63"/>
      <c r="AS179" s="11"/>
      <c r="AT179" s="108"/>
      <c r="AU179" s="524"/>
      <c r="AV179" s="11"/>
      <c r="AW179" s="11"/>
      <c r="AX179" s="102"/>
      <c r="BA179" s="31"/>
      <c r="BB179" s="162"/>
      <c r="BC179" s="149"/>
      <c r="BD179" s="141"/>
      <c r="BE179" s="141"/>
      <c r="BF179" s="141"/>
      <c r="BG179" s="140"/>
      <c r="BH179" s="140"/>
    </row>
    <row r="180" spans="2:60" s="6" customFormat="1" ht="15">
      <c r="B180" s="952"/>
      <c r="E180" s="553"/>
      <c r="F180" s="513"/>
      <c r="G180" s="270"/>
      <c r="H180" s="270"/>
      <c r="I180" s="270"/>
      <c r="J180" s="270"/>
      <c r="K180" s="270"/>
      <c r="L180" s="270"/>
      <c r="M180" s="270"/>
      <c r="N180" s="270"/>
      <c r="O180" s="16"/>
      <c r="P180" s="17"/>
      <c r="Q180" s="158"/>
      <c r="R180" s="18"/>
      <c r="S180" s="18"/>
      <c r="T180" s="89"/>
      <c r="U180" s="108"/>
      <c r="V180" s="18"/>
      <c r="W180" s="10"/>
      <c r="X180" s="10"/>
      <c r="Y180" s="10"/>
      <c r="Z180" s="464"/>
      <c r="AA180" s="10"/>
      <c r="AB180" s="10"/>
      <c r="AC180" s="10"/>
      <c r="AD180" s="204"/>
      <c r="AE180" s="10"/>
      <c r="AF180" s="304"/>
      <c r="AG180" s="63"/>
      <c r="AH180" s="318"/>
      <c r="AI180" s="10"/>
      <c r="AJ180" s="10"/>
      <c r="AK180" s="10"/>
      <c r="AL180" s="339"/>
      <c r="AM180" s="63"/>
      <c r="AN180" s="10"/>
      <c r="AO180" s="10"/>
      <c r="AP180" s="63"/>
      <c r="AQ180" s="304"/>
      <c r="AR180" s="63"/>
      <c r="AS180" s="11"/>
      <c r="AT180" s="108"/>
      <c r="AU180" s="524"/>
      <c r="AV180" s="11"/>
      <c r="AW180" s="11"/>
      <c r="AX180" s="102"/>
      <c r="BA180" s="31"/>
      <c r="BB180" s="162"/>
      <c r="BC180" s="149"/>
      <c r="BD180" s="141"/>
      <c r="BE180" s="141"/>
      <c r="BF180" s="141"/>
      <c r="BG180" s="140"/>
      <c r="BH180" s="140"/>
    </row>
    <row r="181" spans="2:60" s="6" customFormat="1" ht="15">
      <c r="B181" s="952"/>
      <c r="E181" s="553"/>
      <c r="F181" s="513"/>
      <c r="G181" s="270"/>
      <c r="H181" s="270"/>
      <c r="I181" s="270"/>
      <c r="J181" s="270"/>
      <c r="K181" s="270"/>
      <c r="L181" s="270"/>
      <c r="M181" s="270"/>
      <c r="N181" s="270"/>
      <c r="O181" s="16"/>
      <c r="P181" s="17"/>
      <c r="Q181" s="158"/>
      <c r="R181" s="18"/>
      <c r="S181" s="18"/>
      <c r="T181" s="89"/>
      <c r="U181" s="108"/>
      <c r="V181" s="18"/>
      <c r="W181" s="10"/>
      <c r="X181" s="10"/>
      <c r="Y181" s="10"/>
      <c r="Z181" s="464"/>
      <c r="AA181" s="10"/>
      <c r="AB181" s="10"/>
      <c r="AC181" s="10"/>
      <c r="AD181" s="204"/>
      <c r="AE181" s="10"/>
      <c r="AF181" s="304"/>
      <c r="AG181" s="63"/>
      <c r="AH181" s="318"/>
      <c r="AI181" s="10"/>
      <c r="AJ181" s="10"/>
      <c r="AK181" s="10"/>
      <c r="AL181" s="339"/>
      <c r="AM181" s="63"/>
      <c r="AN181" s="10"/>
      <c r="AO181" s="10"/>
      <c r="AP181" s="63"/>
      <c r="AQ181" s="304"/>
      <c r="AR181" s="63"/>
      <c r="AS181" s="11"/>
      <c r="AT181" s="108"/>
      <c r="AU181" s="524"/>
      <c r="AV181" s="11"/>
      <c r="AW181" s="11"/>
      <c r="AX181" s="102"/>
      <c r="BA181" s="31"/>
      <c r="BB181" s="162"/>
      <c r="BC181" s="149"/>
      <c r="BD181" s="141"/>
      <c r="BE181" s="141"/>
      <c r="BF181" s="141"/>
      <c r="BG181" s="140"/>
      <c r="BH181" s="140"/>
    </row>
    <row r="182" spans="2:60" s="6" customFormat="1" ht="15">
      <c r="B182" s="952"/>
      <c r="E182" s="553"/>
      <c r="F182" s="513"/>
      <c r="G182" s="270"/>
      <c r="H182" s="270"/>
      <c r="I182" s="270"/>
      <c r="J182" s="270"/>
      <c r="K182" s="270"/>
      <c r="L182" s="270"/>
      <c r="M182" s="270"/>
      <c r="N182" s="270"/>
      <c r="O182" s="16"/>
      <c r="P182" s="17"/>
      <c r="Q182" s="158"/>
      <c r="R182" s="18"/>
      <c r="S182" s="18"/>
      <c r="T182" s="89"/>
      <c r="U182" s="108"/>
      <c r="V182" s="18"/>
      <c r="W182" s="10"/>
      <c r="X182" s="10"/>
      <c r="Y182" s="10"/>
      <c r="Z182" s="464"/>
      <c r="AA182" s="10"/>
      <c r="AB182" s="10"/>
      <c r="AC182" s="10"/>
      <c r="AD182" s="204"/>
      <c r="AE182" s="10"/>
      <c r="AF182" s="304"/>
      <c r="AG182" s="63"/>
      <c r="AH182" s="318"/>
      <c r="AI182" s="10"/>
      <c r="AJ182" s="10"/>
      <c r="AK182" s="10"/>
      <c r="AL182" s="339"/>
      <c r="AM182" s="63"/>
      <c r="AN182" s="10"/>
      <c r="AO182" s="10"/>
      <c r="AP182" s="63"/>
      <c r="AQ182" s="304"/>
      <c r="AR182" s="63"/>
      <c r="AS182" s="11"/>
      <c r="AT182" s="108"/>
      <c r="AU182" s="524"/>
      <c r="AV182" s="11"/>
      <c r="AW182" s="11"/>
      <c r="AX182" s="102"/>
      <c r="BA182" s="31"/>
      <c r="BB182" s="162"/>
      <c r="BC182" s="149"/>
      <c r="BD182" s="141"/>
      <c r="BE182" s="141"/>
      <c r="BF182" s="141"/>
      <c r="BG182" s="140"/>
      <c r="BH182" s="140"/>
    </row>
    <row r="183" spans="2:60" s="6" customFormat="1" ht="15">
      <c r="B183" s="952"/>
      <c r="E183" s="553"/>
      <c r="F183" s="513"/>
      <c r="G183" s="270"/>
      <c r="H183" s="270"/>
      <c r="I183" s="270"/>
      <c r="J183" s="270"/>
      <c r="K183" s="270"/>
      <c r="L183" s="270"/>
      <c r="M183" s="270"/>
      <c r="N183" s="270"/>
      <c r="O183" s="16"/>
      <c r="P183" s="17"/>
      <c r="Q183" s="158"/>
      <c r="R183" s="18"/>
      <c r="S183" s="18"/>
      <c r="T183" s="89"/>
      <c r="U183" s="108"/>
      <c r="V183" s="18"/>
      <c r="W183" s="10"/>
      <c r="X183" s="10"/>
      <c r="Y183" s="10"/>
      <c r="Z183" s="464"/>
      <c r="AA183" s="10"/>
      <c r="AB183" s="10"/>
      <c r="AC183" s="10"/>
      <c r="AD183" s="204"/>
      <c r="AE183" s="10"/>
      <c r="AF183" s="304"/>
      <c r="AG183" s="63"/>
      <c r="AH183" s="318"/>
      <c r="AI183" s="10"/>
      <c r="AJ183" s="10"/>
      <c r="AK183" s="10"/>
      <c r="AL183" s="339"/>
      <c r="AM183" s="63"/>
      <c r="AN183" s="10"/>
      <c r="AO183" s="10"/>
      <c r="AP183" s="63"/>
      <c r="AQ183" s="304"/>
      <c r="AR183" s="63"/>
      <c r="AS183" s="11"/>
      <c r="AT183" s="108"/>
      <c r="AU183" s="524"/>
      <c r="AV183" s="11"/>
      <c r="AW183" s="11"/>
      <c r="AX183" s="102"/>
      <c r="BA183" s="31"/>
      <c r="BB183" s="162"/>
      <c r="BC183" s="149"/>
      <c r="BD183" s="141"/>
      <c r="BE183" s="141"/>
      <c r="BF183" s="141"/>
      <c r="BG183" s="140"/>
      <c r="BH183" s="140"/>
    </row>
    <row r="184" spans="2:60" s="6" customFormat="1" ht="15">
      <c r="B184" s="952"/>
      <c r="E184" s="553"/>
      <c r="F184" s="513"/>
      <c r="G184" s="270"/>
      <c r="H184" s="270"/>
      <c r="I184" s="270"/>
      <c r="J184" s="270"/>
      <c r="K184" s="270"/>
      <c r="L184" s="270"/>
      <c r="M184" s="270"/>
      <c r="N184" s="270"/>
      <c r="O184" s="16"/>
      <c r="P184" s="17"/>
      <c r="Q184" s="158"/>
      <c r="R184" s="18"/>
      <c r="S184" s="18"/>
      <c r="T184" s="89"/>
      <c r="U184" s="108"/>
      <c r="V184" s="18"/>
      <c r="W184" s="10"/>
      <c r="X184" s="10"/>
      <c r="Y184" s="10"/>
      <c r="Z184" s="464"/>
      <c r="AA184" s="10"/>
      <c r="AB184" s="10"/>
      <c r="AC184" s="10"/>
      <c r="AD184" s="204"/>
      <c r="AE184" s="10"/>
      <c r="AF184" s="304"/>
      <c r="AG184" s="63"/>
      <c r="AH184" s="318"/>
      <c r="AI184" s="10"/>
      <c r="AJ184" s="10"/>
      <c r="AK184" s="10"/>
      <c r="AL184" s="339"/>
      <c r="AM184" s="63"/>
      <c r="AN184" s="10"/>
      <c r="AO184" s="10"/>
      <c r="AP184" s="63"/>
      <c r="AQ184" s="304"/>
      <c r="AR184" s="63"/>
      <c r="AS184" s="11"/>
      <c r="AT184" s="108"/>
      <c r="AU184" s="524"/>
      <c r="AV184" s="11"/>
      <c r="AW184" s="11"/>
      <c r="AX184" s="102"/>
      <c r="BA184" s="31"/>
      <c r="BB184" s="162"/>
      <c r="BC184" s="149"/>
      <c r="BD184" s="141"/>
      <c r="BE184" s="141"/>
      <c r="BF184" s="141"/>
      <c r="BG184" s="140"/>
      <c r="BH184" s="140"/>
    </row>
    <row r="185" spans="2:60" s="6" customFormat="1" ht="15">
      <c r="B185" s="952"/>
      <c r="E185" s="553"/>
      <c r="F185" s="513"/>
      <c r="G185" s="270"/>
      <c r="H185" s="270"/>
      <c r="I185" s="270"/>
      <c r="J185" s="270"/>
      <c r="K185" s="270"/>
      <c r="L185" s="270"/>
      <c r="M185" s="270"/>
      <c r="N185" s="270"/>
      <c r="O185" s="16"/>
      <c r="P185" s="17"/>
      <c r="Q185" s="158"/>
      <c r="R185" s="18"/>
      <c r="S185" s="18"/>
      <c r="T185" s="89"/>
      <c r="U185" s="108"/>
      <c r="V185" s="18"/>
      <c r="W185" s="10"/>
      <c r="X185" s="10"/>
      <c r="Y185" s="10"/>
      <c r="Z185" s="464"/>
      <c r="AA185" s="10"/>
      <c r="AB185" s="10"/>
      <c r="AC185" s="10"/>
      <c r="AD185" s="204"/>
      <c r="AE185" s="10"/>
      <c r="AF185" s="304"/>
      <c r="AG185" s="63"/>
      <c r="AH185" s="318"/>
      <c r="AI185" s="10"/>
      <c r="AJ185" s="10"/>
      <c r="AK185" s="10"/>
      <c r="AL185" s="339"/>
      <c r="AM185" s="63"/>
      <c r="AN185" s="10"/>
      <c r="AO185" s="10"/>
      <c r="AP185" s="63"/>
      <c r="AQ185" s="304"/>
      <c r="AR185" s="63"/>
      <c r="AS185" s="11"/>
      <c r="AT185" s="108"/>
      <c r="AU185" s="524"/>
      <c r="AV185" s="11"/>
      <c r="AW185" s="11"/>
      <c r="AX185" s="102"/>
      <c r="BA185" s="31"/>
      <c r="BB185" s="162"/>
      <c r="BC185" s="149"/>
      <c r="BD185" s="141"/>
      <c r="BE185" s="141"/>
      <c r="BF185" s="141"/>
      <c r="BG185" s="140"/>
      <c r="BH185" s="140"/>
    </row>
    <row r="186" spans="2:60" s="6" customFormat="1" ht="15">
      <c r="B186" s="952"/>
      <c r="E186" s="553"/>
      <c r="F186" s="513"/>
      <c r="G186" s="270"/>
      <c r="H186" s="270"/>
      <c r="I186" s="270"/>
      <c r="J186" s="270"/>
      <c r="K186" s="270"/>
      <c r="L186" s="270"/>
      <c r="M186" s="270"/>
      <c r="N186" s="270"/>
      <c r="O186" s="16"/>
      <c r="P186" s="17"/>
      <c r="Q186" s="158"/>
      <c r="R186" s="18"/>
      <c r="S186" s="18"/>
      <c r="T186" s="89"/>
      <c r="U186" s="108"/>
      <c r="V186" s="18"/>
      <c r="W186" s="10"/>
      <c r="X186" s="10"/>
      <c r="Y186" s="10"/>
      <c r="Z186" s="464"/>
      <c r="AA186" s="10"/>
      <c r="AB186" s="10"/>
      <c r="AC186" s="10"/>
      <c r="AD186" s="204"/>
      <c r="AE186" s="10"/>
      <c r="AF186" s="304"/>
      <c r="AG186" s="63"/>
      <c r="AH186" s="318"/>
      <c r="AI186" s="10"/>
      <c r="AJ186" s="10"/>
      <c r="AK186" s="10"/>
      <c r="AL186" s="339"/>
      <c r="AM186" s="63"/>
      <c r="AN186" s="10"/>
      <c r="AO186" s="10"/>
      <c r="AP186" s="63"/>
      <c r="AQ186" s="304"/>
      <c r="AR186" s="63"/>
      <c r="AS186" s="11"/>
      <c r="AT186" s="108"/>
      <c r="AU186" s="524"/>
      <c r="AV186" s="11"/>
      <c r="AW186" s="11"/>
      <c r="AX186" s="102"/>
      <c r="BA186" s="31"/>
      <c r="BB186" s="162"/>
      <c r="BC186" s="149"/>
      <c r="BD186" s="141"/>
      <c r="BE186" s="141"/>
      <c r="BF186" s="141"/>
      <c r="BG186" s="140"/>
      <c r="BH186" s="140"/>
    </row>
    <row r="187" spans="2:60" s="6" customFormat="1" ht="15">
      <c r="B187" s="952"/>
      <c r="E187" s="553"/>
      <c r="F187" s="513"/>
      <c r="G187" s="270"/>
      <c r="H187" s="270"/>
      <c r="I187" s="270"/>
      <c r="J187" s="270"/>
      <c r="K187" s="270"/>
      <c r="L187" s="270"/>
      <c r="M187" s="270"/>
      <c r="N187" s="270"/>
      <c r="O187" s="16"/>
      <c r="P187" s="17"/>
      <c r="Q187" s="158"/>
      <c r="R187" s="18"/>
      <c r="S187" s="18"/>
      <c r="T187" s="89"/>
      <c r="U187" s="108"/>
      <c r="V187" s="18"/>
      <c r="W187" s="10"/>
      <c r="X187" s="10"/>
      <c r="Y187" s="10"/>
      <c r="Z187" s="464"/>
      <c r="AA187" s="10"/>
      <c r="AB187" s="10"/>
      <c r="AC187" s="10"/>
      <c r="AD187" s="204"/>
      <c r="AE187" s="10"/>
      <c r="AF187" s="304"/>
      <c r="AG187" s="63"/>
      <c r="AH187" s="318"/>
      <c r="AI187" s="10"/>
      <c r="AJ187" s="10"/>
      <c r="AK187" s="10"/>
      <c r="AL187" s="339"/>
      <c r="AM187" s="63"/>
      <c r="AN187" s="10"/>
      <c r="AO187" s="10"/>
      <c r="AP187" s="63"/>
      <c r="AQ187" s="304"/>
      <c r="AR187" s="63"/>
      <c r="AS187" s="11"/>
      <c r="AT187" s="108"/>
      <c r="AU187" s="524"/>
      <c r="AV187" s="11"/>
      <c r="AW187" s="11"/>
      <c r="AX187" s="102"/>
      <c r="BA187" s="31"/>
      <c r="BB187" s="162"/>
      <c r="BC187" s="149"/>
      <c r="BD187" s="141"/>
      <c r="BE187" s="141"/>
      <c r="BF187" s="141"/>
      <c r="BG187" s="140"/>
      <c r="BH187" s="140"/>
    </row>
    <row r="188" spans="2:60" s="6" customFormat="1" ht="15">
      <c r="B188" s="952"/>
      <c r="E188" s="553"/>
      <c r="F188" s="513"/>
      <c r="G188" s="270"/>
      <c r="H188" s="270"/>
      <c r="I188" s="270"/>
      <c r="J188" s="270"/>
      <c r="K188" s="270"/>
      <c r="L188" s="270"/>
      <c r="M188" s="270"/>
      <c r="N188" s="270"/>
      <c r="O188" s="16"/>
      <c r="P188" s="17"/>
      <c r="Q188" s="158"/>
      <c r="R188" s="18"/>
      <c r="S188" s="18"/>
      <c r="T188" s="89"/>
      <c r="U188" s="108"/>
      <c r="V188" s="18"/>
      <c r="W188" s="10"/>
      <c r="X188" s="10"/>
      <c r="Y188" s="10"/>
      <c r="Z188" s="464"/>
      <c r="AA188" s="10"/>
      <c r="AB188" s="10"/>
      <c r="AC188" s="10"/>
      <c r="AD188" s="204"/>
      <c r="AE188" s="10"/>
      <c r="AF188" s="304"/>
      <c r="AG188" s="63"/>
      <c r="AH188" s="318"/>
      <c r="AI188" s="10"/>
      <c r="AJ188" s="10"/>
      <c r="AK188" s="10"/>
      <c r="AL188" s="339"/>
      <c r="AM188" s="63"/>
      <c r="AN188" s="10"/>
      <c r="AO188" s="10"/>
      <c r="AP188" s="63"/>
      <c r="AQ188" s="304"/>
      <c r="AR188" s="63"/>
      <c r="AS188" s="11"/>
      <c r="AT188" s="108"/>
      <c r="AU188" s="524"/>
      <c r="AV188" s="11"/>
      <c r="AW188" s="11"/>
      <c r="AX188" s="102"/>
      <c r="BA188" s="31"/>
      <c r="BB188" s="162"/>
      <c r="BC188" s="149"/>
      <c r="BD188" s="141"/>
      <c r="BE188" s="141"/>
      <c r="BF188" s="141"/>
      <c r="BG188" s="140"/>
      <c r="BH188" s="140"/>
    </row>
    <row r="189" spans="2:60" s="6" customFormat="1" ht="15">
      <c r="B189" s="952"/>
      <c r="E189" s="553"/>
      <c r="F189" s="513"/>
      <c r="G189" s="270"/>
      <c r="H189" s="270"/>
      <c r="I189" s="270"/>
      <c r="J189" s="270"/>
      <c r="K189" s="270"/>
      <c r="L189" s="270"/>
      <c r="M189" s="270"/>
      <c r="N189" s="270"/>
      <c r="O189" s="16"/>
      <c r="P189" s="17"/>
      <c r="Q189" s="158"/>
      <c r="R189" s="18"/>
      <c r="S189" s="18"/>
      <c r="T189" s="89"/>
      <c r="U189" s="108"/>
      <c r="V189" s="18"/>
      <c r="W189" s="10"/>
      <c r="X189" s="10"/>
      <c r="Y189" s="10"/>
      <c r="Z189" s="464"/>
      <c r="AA189" s="10"/>
      <c r="AB189" s="10"/>
      <c r="AC189" s="10"/>
      <c r="AD189" s="204"/>
      <c r="AE189" s="10"/>
      <c r="AF189" s="304"/>
      <c r="AG189" s="63"/>
      <c r="AH189" s="318"/>
      <c r="AI189" s="10"/>
      <c r="AJ189" s="10"/>
      <c r="AK189" s="10"/>
      <c r="AL189" s="339"/>
      <c r="AM189" s="63"/>
      <c r="AN189" s="10"/>
      <c r="AO189" s="10"/>
      <c r="AP189" s="63"/>
      <c r="AQ189" s="304"/>
      <c r="AR189" s="63"/>
      <c r="AS189" s="11"/>
      <c r="AT189" s="108"/>
      <c r="AU189" s="524"/>
      <c r="AV189" s="11"/>
      <c r="AW189" s="11"/>
      <c r="AX189" s="102"/>
      <c r="BA189" s="31"/>
      <c r="BB189" s="162"/>
      <c r="BC189" s="149"/>
      <c r="BD189" s="141"/>
      <c r="BE189" s="141"/>
      <c r="BF189" s="141"/>
      <c r="BG189" s="140"/>
      <c r="BH189" s="140"/>
    </row>
    <row r="190" spans="2:60" s="6" customFormat="1" ht="15">
      <c r="B190" s="952"/>
      <c r="E190" s="553"/>
      <c r="F190" s="513"/>
      <c r="G190" s="270"/>
      <c r="H190" s="270"/>
      <c r="I190" s="270"/>
      <c r="J190" s="270"/>
      <c r="K190" s="270"/>
      <c r="L190" s="270"/>
      <c r="M190" s="270"/>
      <c r="N190" s="270"/>
      <c r="O190" s="16"/>
      <c r="P190" s="17"/>
      <c r="Q190" s="158"/>
      <c r="R190" s="18"/>
      <c r="S190" s="18"/>
      <c r="T190" s="89"/>
      <c r="U190" s="108"/>
      <c r="V190" s="18"/>
      <c r="W190" s="10"/>
      <c r="X190" s="10"/>
      <c r="Y190" s="10"/>
      <c r="Z190" s="464"/>
      <c r="AA190" s="10"/>
      <c r="AB190" s="10"/>
      <c r="AC190" s="10"/>
      <c r="AD190" s="204"/>
      <c r="AE190" s="10"/>
      <c r="AF190" s="304"/>
      <c r="AG190" s="63"/>
      <c r="AH190" s="318"/>
      <c r="AI190" s="10"/>
      <c r="AJ190" s="10"/>
      <c r="AK190" s="10"/>
      <c r="AL190" s="339"/>
      <c r="AM190" s="63"/>
      <c r="AN190" s="10"/>
      <c r="AO190" s="10"/>
      <c r="AP190" s="63"/>
      <c r="AQ190" s="304"/>
      <c r="AR190" s="63"/>
      <c r="AS190" s="11"/>
      <c r="AT190" s="108"/>
      <c r="AU190" s="524"/>
      <c r="AV190" s="11"/>
      <c r="AW190" s="11"/>
      <c r="AX190" s="102"/>
      <c r="BA190" s="31"/>
      <c r="BB190" s="162"/>
      <c r="BC190" s="149"/>
      <c r="BD190" s="141"/>
      <c r="BE190" s="141"/>
      <c r="BF190" s="141"/>
      <c r="BG190" s="140"/>
      <c r="BH190" s="140"/>
    </row>
    <row r="191" spans="2:60" s="6" customFormat="1" ht="15">
      <c r="B191" s="952"/>
      <c r="E191" s="553"/>
      <c r="F191" s="513"/>
      <c r="G191" s="270"/>
      <c r="H191" s="270"/>
      <c r="I191" s="270"/>
      <c r="J191" s="270"/>
      <c r="K191" s="270"/>
      <c r="L191" s="270"/>
      <c r="M191" s="270"/>
      <c r="N191" s="270"/>
      <c r="O191" s="16"/>
      <c r="P191" s="17"/>
      <c r="Q191" s="158"/>
      <c r="R191" s="18"/>
      <c r="S191" s="18"/>
      <c r="T191" s="89"/>
      <c r="U191" s="108"/>
      <c r="V191" s="18"/>
      <c r="W191" s="10"/>
      <c r="X191" s="10"/>
      <c r="Y191" s="10"/>
      <c r="Z191" s="464"/>
      <c r="AA191" s="10"/>
      <c r="AB191" s="10"/>
      <c r="AC191" s="10"/>
      <c r="AD191" s="204"/>
      <c r="AE191" s="10"/>
      <c r="AF191" s="304"/>
      <c r="AG191" s="63"/>
      <c r="AH191" s="318"/>
      <c r="AI191" s="10"/>
      <c r="AJ191" s="10"/>
      <c r="AK191" s="10"/>
      <c r="AL191" s="339"/>
      <c r="AM191" s="63"/>
      <c r="AN191" s="10"/>
      <c r="AO191" s="10"/>
      <c r="AP191" s="63"/>
      <c r="AQ191" s="304"/>
      <c r="AR191" s="63"/>
      <c r="AS191" s="11"/>
      <c r="AT191" s="108"/>
      <c r="AU191" s="524"/>
      <c r="AV191" s="11"/>
      <c r="AW191" s="11"/>
      <c r="AX191" s="102"/>
      <c r="BA191" s="31"/>
      <c r="BB191" s="162"/>
      <c r="BC191" s="149"/>
      <c r="BD191" s="141"/>
      <c r="BE191" s="141"/>
      <c r="BF191" s="141"/>
      <c r="BG191" s="140"/>
      <c r="BH191" s="140"/>
    </row>
    <row r="192" spans="2:60" s="6" customFormat="1" ht="15">
      <c r="B192" s="952"/>
      <c r="E192" s="553"/>
      <c r="F192" s="513"/>
      <c r="G192" s="270"/>
      <c r="H192" s="270"/>
      <c r="I192" s="270"/>
      <c r="J192" s="270"/>
      <c r="K192" s="270"/>
      <c r="L192" s="270"/>
      <c r="M192" s="270"/>
      <c r="N192" s="270"/>
      <c r="O192" s="16"/>
      <c r="P192" s="17"/>
      <c r="Q192" s="158"/>
      <c r="R192" s="18"/>
      <c r="S192" s="18"/>
      <c r="T192" s="89"/>
      <c r="U192" s="108"/>
      <c r="V192" s="18"/>
      <c r="W192" s="10"/>
      <c r="X192" s="10"/>
      <c r="Y192" s="10"/>
      <c r="Z192" s="464"/>
      <c r="AA192" s="10"/>
      <c r="AB192" s="10"/>
      <c r="AC192" s="10"/>
      <c r="AD192" s="204"/>
      <c r="AE192" s="10"/>
      <c r="AF192" s="304"/>
      <c r="AG192" s="63"/>
      <c r="AH192" s="318"/>
      <c r="AI192" s="10"/>
      <c r="AJ192" s="10"/>
      <c r="AK192" s="10"/>
      <c r="AL192" s="339"/>
      <c r="AM192" s="63"/>
      <c r="AN192" s="10"/>
      <c r="AO192" s="10"/>
      <c r="AP192" s="63"/>
      <c r="AQ192" s="304"/>
      <c r="AR192" s="63"/>
      <c r="AS192" s="11"/>
      <c r="AT192" s="108"/>
      <c r="AU192" s="524"/>
      <c r="AV192" s="11"/>
      <c r="AW192" s="11"/>
      <c r="AX192" s="102"/>
      <c r="BA192" s="31"/>
      <c r="BB192" s="162"/>
      <c r="BC192" s="149"/>
      <c r="BD192" s="141"/>
      <c r="BE192" s="141"/>
      <c r="BF192" s="141"/>
      <c r="BG192" s="140"/>
      <c r="BH192" s="140"/>
    </row>
    <row r="193" spans="1:60" s="6" customFormat="1" ht="15">
      <c r="B193" s="952"/>
      <c r="E193" s="553"/>
      <c r="F193" s="513"/>
      <c r="G193" s="270"/>
      <c r="H193" s="270"/>
      <c r="I193" s="270"/>
      <c r="J193" s="270"/>
      <c r="K193" s="270"/>
      <c r="L193" s="270"/>
      <c r="M193" s="270"/>
      <c r="N193" s="270"/>
      <c r="O193" s="16"/>
      <c r="P193" s="17"/>
      <c r="Q193" s="158"/>
      <c r="R193" s="18"/>
      <c r="S193" s="18"/>
      <c r="T193" s="89"/>
      <c r="U193" s="108"/>
      <c r="V193" s="18"/>
      <c r="W193" s="10"/>
      <c r="X193" s="10"/>
      <c r="Y193" s="10"/>
      <c r="Z193" s="464"/>
      <c r="AA193" s="10"/>
      <c r="AB193" s="10"/>
      <c r="AC193" s="10"/>
      <c r="AD193" s="204"/>
      <c r="AE193" s="10"/>
      <c r="AF193" s="304"/>
      <c r="AG193" s="63"/>
      <c r="AH193" s="318"/>
      <c r="AI193" s="10"/>
      <c r="AJ193" s="10"/>
      <c r="AK193" s="10"/>
      <c r="AL193" s="339"/>
      <c r="AM193" s="63"/>
      <c r="AN193" s="10"/>
      <c r="AO193" s="10"/>
      <c r="AP193" s="63"/>
      <c r="AQ193" s="304"/>
      <c r="AR193" s="63"/>
      <c r="AS193" s="11"/>
      <c r="AT193" s="108"/>
      <c r="AU193" s="524"/>
      <c r="AV193" s="11"/>
      <c r="AW193" s="11"/>
      <c r="AX193" s="102"/>
      <c r="BA193" s="31"/>
      <c r="BB193" s="162"/>
      <c r="BC193" s="149"/>
      <c r="BD193" s="141"/>
      <c r="BE193" s="141"/>
      <c r="BF193" s="141"/>
      <c r="BG193" s="140"/>
      <c r="BH193" s="140"/>
    </row>
    <row r="194" spans="1:60" s="6" customFormat="1" ht="15">
      <c r="B194" s="952"/>
      <c r="E194" s="553"/>
      <c r="F194" s="513"/>
      <c r="G194" s="270"/>
      <c r="H194" s="270"/>
      <c r="I194" s="270"/>
      <c r="J194" s="270"/>
      <c r="K194" s="270"/>
      <c r="L194" s="270"/>
      <c r="M194" s="270"/>
      <c r="N194" s="270"/>
      <c r="O194" s="16"/>
      <c r="P194" s="17"/>
      <c r="Q194" s="158"/>
      <c r="R194" s="18"/>
      <c r="S194" s="18"/>
      <c r="T194" s="89"/>
      <c r="U194" s="108"/>
      <c r="V194" s="18"/>
      <c r="W194" s="10"/>
      <c r="X194" s="10"/>
      <c r="Y194" s="10"/>
      <c r="Z194" s="464"/>
      <c r="AA194" s="10"/>
      <c r="AB194" s="10"/>
      <c r="AC194" s="10"/>
      <c r="AD194" s="204"/>
      <c r="AE194" s="10"/>
      <c r="AF194" s="304"/>
      <c r="AG194" s="63"/>
      <c r="AH194" s="318"/>
      <c r="AI194" s="10"/>
      <c r="AJ194" s="10"/>
      <c r="AK194" s="10"/>
      <c r="AL194" s="339"/>
      <c r="AM194" s="63"/>
      <c r="AN194" s="10"/>
      <c r="AO194" s="10"/>
      <c r="AP194" s="63"/>
      <c r="AQ194" s="304"/>
      <c r="AR194" s="63"/>
      <c r="AS194" s="11"/>
      <c r="AT194" s="108"/>
      <c r="AU194" s="524"/>
      <c r="AV194" s="11"/>
      <c r="AW194" s="11"/>
      <c r="AX194" s="102"/>
      <c r="BA194" s="31"/>
      <c r="BB194" s="162"/>
      <c r="BC194" s="149"/>
      <c r="BD194" s="141"/>
      <c r="BE194" s="141"/>
      <c r="BF194" s="141"/>
      <c r="BG194" s="140"/>
      <c r="BH194" s="140"/>
    </row>
    <row r="195" spans="1:60" s="6" customFormat="1" ht="15">
      <c r="B195" s="952"/>
      <c r="E195" s="553"/>
      <c r="F195" s="513"/>
      <c r="G195" s="270"/>
      <c r="H195" s="270"/>
      <c r="I195" s="270"/>
      <c r="J195" s="270"/>
      <c r="K195" s="270"/>
      <c r="L195" s="270"/>
      <c r="M195" s="270"/>
      <c r="N195" s="270"/>
      <c r="O195" s="16"/>
      <c r="P195" s="17"/>
      <c r="Q195" s="158"/>
      <c r="R195" s="18"/>
      <c r="S195" s="18"/>
      <c r="T195" s="89"/>
      <c r="U195" s="108"/>
      <c r="V195" s="18"/>
      <c r="W195" s="10"/>
      <c r="X195" s="10"/>
      <c r="Y195" s="10"/>
      <c r="Z195" s="464"/>
      <c r="AA195" s="10"/>
      <c r="AB195" s="10"/>
      <c r="AC195" s="10"/>
      <c r="AD195" s="204"/>
      <c r="AE195" s="10"/>
      <c r="AF195" s="304"/>
      <c r="AG195" s="63"/>
      <c r="AH195" s="318"/>
      <c r="AI195" s="10"/>
      <c r="AJ195" s="10"/>
      <c r="AK195" s="10"/>
      <c r="AL195" s="339"/>
      <c r="AM195" s="63"/>
      <c r="AN195" s="10"/>
      <c r="AO195" s="10"/>
      <c r="AP195" s="63"/>
      <c r="AQ195" s="304"/>
      <c r="AR195" s="63"/>
      <c r="AS195" s="11"/>
      <c r="AT195" s="108"/>
      <c r="AU195" s="524"/>
      <c r="AV195" s="11"/>
      <c r="AW195" s="11"/>
      <c r="AX195" s="102"/>
      <c r="BA195" s="31"/>
      <c r="BB195" s="162"/>
      <c r="BC195" s="149"/>
      <c r="BD195" s="141"/>
      <c r="BE195" s="141"/>
      <c r="BF195" s="141"/>
      <c r="BG195" s="140"/>
      <c r="BH195" s="140"/>
    </row>
    <row r="196" spans="1:60" s="6" customFormat="1" ht="15">
      <c r="B196" s="952"/>
      <c r="E196" s="553"/>
      <c r="F196" s="513"/>
      <c r="G196" s="270"/>
      <c r="H196" s="270"/>
      <c r="I196" s="270"/>
      <c r="J196" s="270"/>
      <c r="K196" s="270"/>
      <c r="L196" s="270"/>
      <c r="M196" s="270"/>
      <c r="N196" s="270"/>
      <c r="O196" s="16"/>
      <c r="P196" s="17"/>
      <c r="Q196" s="158"/>
      <c r="R196" s="18"/>
      <c r="S196" s="18"/>
      <c r="T196" s="89"/>
      <c r="U196" s="108"/>
      <c r="V196" s="18"/>
      <c r="W196" s="10"/>
      <c r="X196" s="10"/>
      <c r="Y196" s="10"/>
      <c r="Z196" s="464"/>
      <c r="AA196" s="10"/>
      <c r="AB196" s="10"/>
      <c r="AC196" s="10"/>
      <c r="AD196" s="204"/>
      <c r="AE196" s="10"/>
      <c r="AF196" s="304"/>
      <c r="AG196" s="63"/>
      <c r="AH196" s="318"/>
      <c r="AI196" s="10"/>
      <c r="AJ196" s="10"/>
      <c r="AK196" s="10"/>
      <c r="AL196" s="339"/>
      <c r="AM196" s="63"/>
      <c r="AN196" s="10"/>
      <c r="AO196" s="10"/>
      <c r="AP196" s="63"/>
      <c r="AQ196" s="304"/>
      <c r="AR196" s="63"/>
      <c r="AS196" s="11"/>
      <c r="AT196" s="108"/>
      <c r="AU196" s="524"/>
      <c r="AV196" s="11"/>
      <c r="AW196" s="11"/>
      <c r="AX196" s="102"/>
      <c r="BA196" s="31"/>
      <c r="BB196" s="162"/>
      <c r="BC196" s="149"/>
      <c r="BD196" s="141"/>
      <c r="BE196" s="141"/>
      <c r="BF196" s="141"/>
      <c r="BG196" s="140"/>
      <c r="BH196" s="140"/>
    </row>
    <row r="197" spans="1:60" s="6" customFormat="1" ht="15">
      <c r="B197" s="952"/>
      <c r="E197" s="553"/>
      <c r="F197" s="513"/>
      <c r="G197" s="270"/>
      <c r="H197" s="270"/>
      <c r="I197" s="270"/>
      <c r="J197" s="270"/>
      <c r="K197" s="270"/>
      <c r="L197" s="270"/>
      <c r="M197" s="270"/>
      <c r="N197" s="270"/>
      <c r="O197" s="16"/>
      <c r="P197" s="17"/>
      <c r="Q197" s="158"/>
      <c r="R197" s="18"/>
      <c r="S197" s="18"/>
      <c r="T197" s="89"/>
      <c r="U197" s="108"/>
      <c r="V197" s="18"/>
      <c r="W197" s="10"/>
      <c r="X197" s="10"/>
      <c r="Y197" s="10"/>
      <c r="Z197" s="464"/>
      <c r="AA197" s="10"/>
      <c r="AB197" s="10"/>
      <c r="AC197" s="10"/>
      <c r="AD197" s="204"/>
      <c r="AE197" s="10"/>
      <c r="AF197" s="304"/>
      <c r="AG197" s="63"/>
      <c r="AH197" s="318"/>
      <c r="AI197" s="10"/>
      <c r="AJ197" s="10"/>
      <c r="AK197" s="10"/>
      <c r="AL197" s="339"/>
      <c r="AM197" s="63"/>
      <c r="AN197" s="10"/>
      <c r="AO197" s="10"/>
      <c r="AP197" s="63"/>
      <c r="AQ197" s="304"/>
      <c r="AR197" s="63"/>
      <c r="AS197" s="11"/>
      <c r="AT197" s="108"/>
      <c r="AU197" s="524"/>
      <c r="AV197" s="11"/>
      <c r="AW197" s="11"/>
      <c r="AX197" s="102"/>
      <c r="BA197" s="31"/>
      <c r="BB197" s="162"/>
      <c r="BC197" s="149"/>
      <c r="BD197" s="141"/>
      <c r="BE197" s="141"/>
      <c r="BF197" s="141"/>
      <c r="BG197" s="140"/>
      <c r="BH197" s="140"/>
    </row>
    <row r="198" spans="1:60" s="6" customFormat="1" ht="15">
      <c r="B198" s="952"/>
      <c r="E198" s="553"/>
      <c r="F198" s="513"/>
      <c r="G198" s="270"/>
      <c r="H198" s="270"/>
      <c r="I198" s="270"/>
      <c r="J198" s="270"/>
      <c r="K198" s="270"/>
      <c r="L198" s="270"/>
      <c r="M198" s="270"/>
      <c r="N198" s="270"/>
      <c r="O198" s="16"/>
      <c r="P198" s="17"/>
      <c r="Q198" s="158"/>
      <c r="R198" s="18"/>
      <c r="S198" s="18"/>
      <c r="T198" s="89"/>
      <c r="U198" s="108"/>
      <c r="V198" s="18"/>
      <c r="W198" s="10"/>
      <c r="X198" s="10"/>
      <c r="Y198" s="10"/>
      <c r="Z198" s="464"/>
      <c r="AA198" s="10"/>
      <c r="AB198" s="10"/>
      <c r="AC198" s="10"/>
      <c r="AD198" s="204"/>
      <c r="AE198" s="10"/>
      <c r="AF198" s="304"/>
      <c r="AG198" s="63"/>
      <c r="AH198" s="318"/>
      <c r="AI198" s="10"/>
      <c r="AJ198" s="10"/>
      <c r="AK198" s="10"/>
      <c r="AL198" s="339"/>
      <c r="AM198" s="63"/>
      <c r="AN198" s="10"/>
      <c r="AO198" s="10"/>
      <c r="AP198" s="63"/>
      <c r="AQ198" s="304"/>
      <c r="AR198" s="63"/>
      <c r="AS198" s="11"/>
      <c r="AT198" s="108"/>
      <c r="AU198" s="524"/>
      <c r="AV198" s="11"/>
      <c r="AW198" s="11"/>
      <c r="AX198" s="102"/>
      <c r="BA198" s="31"/>
      <c r="BB198" s="162"/>
      <c r="BC198" s="149"/>
      <c r="BD198" s="141"/>
      <c r="BE198" s="141"/>
      <c r="BF198" s="141"/>
      <c r="BG198" s="140"/>
      <c r="BH198" s="140"/>
    </row>
    <row r="199" spans="1:60" s="6" customFormat="1" ht="15">
      <c r="A199" s="1"/>
      <c r="B199" s="945"/>
      <c r="C199" s="1"/>
      <c r="D199" s="1"/>
      <c r="E199" s="557"/>
      <c r="F199" s="514"/>
      <c r="G199" s="271"/>
      <c r="H199" s="271"/>
      <c r="I199" s="271"/>
      <c r="J199" s="271"/>
      <c r="K199" s="271"/>
      <c r="L199" s="271"/>
      <c r="M199" s="271"/>
      <c r="N199" s="271"/>
      <c r="O199" s="2"/>
      <c r="P199" s="3"/>
      <c r="Q199" s="152"/>
      <c r="R199" s="4"/>
      <c r="S199" s="4"/>
      <c r="T199" s="85"/>
      <c r="U199" s="108"/>
      <c r="V199" s="4"/>
      <c r="W199" s="5"/>
      <c r="X199" s="5"/>
      <c r="Y199" s="5"/>
      <c r="Z199" s="465"/>
      <c r="AA199" s="5"/>
      <c r="AB199" s="5"/>
      <c r="AC199" s="5"/>
      <c r="AD199" s="446"/>
      <c r="AE199" s="5"/>
      <c r="AF199" s="305"/>
      <c r="AG199" s="62"/>
      <c r="AH199" s="319"/>
      <c r="AI199" s="5"/>
      <c r="AJ199" s="5"/>
      <c r="AK199" s="5"/>
      <c r="AL199" s="340"/>
      <c r="AM199" s="62"/>
      <c r="AN199" s="5"/>
      <c r="AO199" s="5"/>
      <c r="AP199" s="62"/>
      <c r="AQ199" s="305"/>
      <c r="AR199" s="62"/>
      <c r="AS199" s="7"/>
      <c r="AT199" s="108"/>
      <c r="AU199" s="524"/>
      <c r="AV199" s="7"/>
      <c r="AW199" s="7"/>
      <c r="AX199" s="102"/>
      <c r="BA199" s="31"/>
      <c r="BB199" s="162"/>
      <c r="BC199" s="149"/>
      <c r="BD199" s="141"/>
      <c r="BE199" s="141"/>
      <c r="BF199" s="141"/>
      <c r="BG199" s="140"/>
      <c r="BH199" s="140"/>
    </row>
    <row r="200" spans="1:60" s="6" customFormat="1" ht="25.15">
      <c r="A200" s="8"/>
      <c r="B200" s="945"/>
      <c r="C200" s="19"/>
      <c r="D200" s="19"/>
      <c r="E200" s="557"/>
      <c r="F200" s="515"/>
      <c r="G200" s="271"/>
      <c r="H200" s="271"/>
      <c r="I200" s="271"/>
      <c r="J200" s="271"/>
      <c r="K200" s="271"/>
      <c r="L200" s="271"/>
      <c r="M200" s="271"/>
      <c r="N200" s="271"/>
      <c r="O200" s="20"/>
      <c r="P200" s="21"/>
      <c r="Q200" s="159"/>
      <c r="R200" s="18"/>
      <c r="S200" s="18"/>
      <c r="T200" s="89"/>
      <c r="U200" s="108"/>
      <c r="V200" s="18"/>
      <c r="W200" s="10"/>
      <c r="X200" s="10"/>
      <c r="Y200" s="10"/>
      <c r="Z200" s="464"/>
      <c r="AA200" s="10"/>
      <c r="AB200" s="10"/>
      <c r="AC200" s="10"/>
      <c r="AD200" s="204"/>
      <c r="AE200" s="10"/>
      <c r="AF200" s="304"/>
      <c r="AG200" s="63"/>
      <c r="AH200" s="318"/>
      <c r="AI200" s="10"/>
      <c r="AJ200" s="10"/>
      <c r="AK200" s="10"/>
      <c r="AL200" s="339"/>
      <c r="AM200" s="63"/>
      <c r="AN200" s="10"/>
      <c r="AO200" s="10"/>
      <c r="AP200" s="63"/>
      <c r="AQ200" s="304"/>
      <c r="AR200" s="63"/>
      <c r="AS200" s="11"/>
      <c r="AT200" s="108"/>
      <c r="AU200" s="524"/>
      <c r="AV200" s="11"/>
      <c r="AW200" s="11"/>
      <c r="AX200" s="102"/>
      <c r="BA200" s="31"/>
      <c r="BB200" s="162"/>
      <c r="BC200" s="149"/>
      <c r="BD200" s="141"/>
      <c r="BE200" s="141"/>
      <c r="BF200" s="141"/>
      <c r="BG200" s="140"/>
      <c r="BH200" s="140"/>
    </row>
    <row r="201" spans="1:60" s="6" customFormat="1" ht="15">
      <c r="A201" s="1"/>
      <c r="B201" s="945"/>
      <c r="C201" s="1"/>
      <c r="D201" s="1"/>
      <c r="E201" s="557"/>
      <c r="F201" s="514"/>
      <c r="G201" s="271"/>
      <c r="H201" s="271"/>
      <c r="I201" s="271"/>
      <c r="J201" s="271"/>
      <c r="K201" s="271"/>
      <c r="L201" s="271"/>
      <c r="M201" s="271"/>
      <c r="N201" s="271"/>
      <c r="O201" s="2"/>
      <c r="P201" s="3"/>
      <c r="Q201" s="152"/>
      <c r="R201" s="18"/>
      <c r="S201" s="18"/>
      <c r="T201" s="89"/>
      <c r="U201" s="108"/>
      <c r="V201" s="18"/>
      <c r="W201" s="10"/>
      <c r="X201" s="10"/>
      <c r="Y201" s="10"/>
      <c r="Z201" s="464"/>
      <c r="AA201" s="10"/>
      <c r="AB201" s="10"/>
      <c r="AC201" s="10"/>
      <c r="AD201" s="204"/>
      <c r="AE201" s="10"/>
      <c r="AF201" s="304"/>
      <c r="AG201" s="63"/>
      <c r="AH201" s="318"/>
      <c r="AI201" s="10"/>
      <c r="AJ201" s="10"/>
      <c r="AK201" s="10"/>
      <c r="AL201" s="339"/>
      <c r="AM201" s="63"/>
      <c r="AN201" s="10"/>
      <c r="AO201" s="10"/>
      <c r="AP201" s="63"/>
      <c r="AQ201" s="304"/>
      <c r="AR201" s="63"/>
      <c r="AS201" s="11"/>
      <c r="AT201" s="108"/>
      <c r="AU201" s="524"/>
      <c r="AV201" s="11"/>
      <c r="AW201" s="11"/>
      <c r="AX201" s="102"/>
      <c r="BA201" s="31"/>
      <c r="BB201" s="162"/>
      <c r="BC201" s="149"/>
      <c r="BD201" s="141"/>
      <c r="BE201" s="141"/>
      <c r="BF201" s="141"/>
      <c r="BG201" s="140"/>
      <c r="BH201" s="140"/>
    </row>
    <row r="202" spans="1:60" s="6" customFormat="1" ht="25.15">
      <c r="A202" s="8"/>
      <c r="B202" s="945"/>
      <c r="C202" s="22"/>
      <c r="D202" s="22"/>
      <c r="E202" s="559"/>
      <c r="F202" s="516"/>
      <c r="G202" s="272"/>
      <c r="H202" s="272"/>
      <c r="I202" s="272"/>
      <c r="J202" s="272"/>
      <c r="K202" s="272"/>
      <c r="L202" s="272"/>
      <c r="M202" s="272"/>
      <c r="N202" s="272"/>
      <c r="O202" s="23"/>
      <c r="P202" s="24"/>
      <c r="Q202" s="160"/>
      <c r="R202" s="18"/>
      <c r="S202" s="18"/>
      <c r="T202" s="89"/>
      <c r="U202" s="108"/>
      <c r="V202" s="18"/>
      <c r="W202" s="10"/>
      <c r="X202" s="10"/>
      <c r="Y202" s="10"/>
      <c r="Z202" s="464"/>
      <c r="AA202" s="10"/>
      <c r="AB202" s="10"/>
      <c r="AC202" s="10"/>
      <c r="AD202" s="204"/>
      <c r="AE202" s="10"/>
      <c r="AF202" s="304"/>
      <c r="AG202" s="63"/>
      <c r="AH202" s="318"/>
      <c r="AI202" s="10"/>
      <c r="AJ202" s="10"/>
      <c r="AK202" s="10"/>
      <c r="AL202" s="339"/>
      <c r="AM202" s="63"/>
      <c r="AN202" s="10"/>
      <c r="AO202" s="10"/>
      <c r="AP202" s="63"/>
      <c r="AQ202" s="304"/>
      <c r="AR202" s="63"/>
      <c r="AS202" s="11"/>
      <c r="AT202" s="108"/>
      <c r="AU202" s="524"/>
      <c r="AV202" s="11"/>
      <c r="AW202" s="11"/>
      <c r="AX202" s="102"/>
      <c r="BA202" s="31"/>
      <c r="BB202" s="162"/>
      <c r="BC202" s="149"/>
      <c r="BD202" s="141"/>
      <c r="BE202" s="141"/>
      <c r="BF202" s="141"/>
      <c r="BG202" s="140"/>
      <c r="BH202" s="140"/>
    </row>
  </sheetData>
  <sheetProtection sheet="1" formatCells="0" autoFilter="0"/>
  <autoFilter ref="B13:T55" xr:uid="{501CA084-BA7E-42FF-BA52-7375E4D55D16}"/>
  <mergeCells count="53">
    <mergeCell ref="AY9:AZ11"/>
    <mergeCell ref="AY55:AZ55"/>
    <mergeCell ref="AZ47:AZ48"/>
    <mergeCell ref="T36:U36"/>
    <mergeCell ref="V35:W35"/>
    <mergeCell ref="AU38:AV38"/>
    <mergeCell ref="AU12:AV12"/>
    <mergeCell ref="AV55:AW55"/>
    <mergeCell ref="C55:T55"/>
    <mergeCell ref="AU51:AV51"/>
    <mergeCell ref="A47:A48"/>
    <mergeCell ref="C47:C48"/>
    <mergeCell ref="B47:B48"/>
    <mergeCell ref="O36:P36"/>
    <mergeCell ref="O35:P35"/>
    <mergeCell ref="BA47:BA48"/>
    <mergeCell ref="AU10:AV10"/>
    <mergeCell ref="O48:AW48"/>
    <mergeCell ref="S2:T2"/>
    <mergeCell ref="S4:T4"/>
    <mergeCell ref="AY6:AZ6"/>
    <mergeCell ref="AY5:AZ5"/>
    <mergeCell ref="R36:S36"/>
    <mergeCell ref="P6:Q6"/>
    <mergeCell ref="AE2:AN2"/>
    <mergeCell ref="AP2:AS2"/>
    <mergeCell ref="AY35:AZ35"/>
    <mergeCell ref="C4:Q4"/>
    <mergeCell ref="Y2:AC2"/>
    <mergeCell ref="R35:S35"/>
    <mergeCell ref="AV6:AW6"/>
    <mergeCell ref="AU5:AW5"/>
    <mergeCell ref="AU36:AW36"/>
    <mergeCell ref="AU35:AW35"/>
    <mergeCell ref="L5:M5"/>
    <mergeCell ref="M10:N10"/>
    <mergeCell ref="V10:W10"/>
    <mergeCell ref="AU13:AV13"/>
    <mergeCell ref="P10:R10"/>
    <mergeCell ref="S10:T10"/>
    <mergeCell ref="V36:W36"/>
    <mergeCell ref="O32:T32"/>
    <mergeCell ref="AH35:AI35"/>
    <mergeCell ref="O2:Q3"/>
    <mergeCell ref="C2:C3"/>
    <mergeCell ref="AY2:AZ2"/>
    <mergeCell ref="AY4:AZ4"/>
    <mergeCell ref="AU3:AW3"/>
    <mergeCell ref="AU2:AW2"/>
    <mergeCell ref="AU4:AW4"/>
    <mergeCell ref="AE4:AF4"/>
    <mergeCell ref="AG4:AH4"/>
    <mergeCell ref="AI4:AJ4"/>
  </mergeCells>
  <phoneticPr fontId="65" type="noConversion"/>
  <conditionalFormatting sqref="A14:A31">
    <cfRule type="expression" dxfId="127" priority="222">
      <formula>ISERROR(AZ14)</formula>
    </cfRule>
  </conditionalFormatting>
  <conditionalFormatting sqref="A14:A46 BA39:BA46">
    <cfRule type="cellIs" dxfId="126" priority="219" operator="equal">
      <formula>""</formula>
    </cfRule>
  </conditionalFormatting>
  <conditionalFormatting sqref="A32 C32 O32 BA32">
    <cfRule type="expression" dxfId="125" priority="231">
      <formula>$P$33&lt;&gt;0</formula>
    </cfRule>
  </conditionalFormatting>
  <conditionalFormatting sqref="B12">
    <cfRule type="expression" dxfId="124" priority="708">
      <formula>$N$5=1</formula>
    </cfRule>
  </conditionalFormatting>
  <conditionalFormatting sqref="C10">
    <cfRule type="cellIs" dxfId="123" priority="70" operator="notEqual">
      <formula>""</formula>
    </cfRule>
    <cfRule type="expression" dxfId="122" priority="68">
      <formula>$B$10&gt;0</formula>
    </cfRule>
  </conditionalFormatting>
  <conditionalFormatting sqref="C12:C13">
    <cfRule type="expression" dxfId="121" priority="4">
      <formula>$M$10=0</formula>
    </cfRule>
  </conditionalFormatting>
  <conditionalFormatting sqref="C14:C31">
    <cfRule type="expression" dxfId="120" priority="2">
      <formula>AND($C14&lt;&gt;"",$C14=$AE$6,$AE$6&lt;&gt;"")</formula>
    </cfRule>
    <cfRule type="expression" dxfId="119" priority="727">
      <formula>$B14="Aktien historisch"</formula>
    </cfRule>
  </conditionalFormatting>
  <conditionalFormatting sqref="C36">
    <cfRule type="expression" dxfId="118" priority="3">
      <formula>$AC$36=0</formula>
    </cfRule>
  </conditionalFormatting>
  <conditionalFormatting sqref="C39:C46">
    <cfRule type="cellIs" dxfId="117" priority="1081" operator="equal">
      <formula>$C$10</formula>
    </cfRule>
    <cfRule type="expression" dxfId="116" priority="1082">
      <formula>AND($C39=$C$52,$C$52&lt;&gt;"")</formula>
    </cfRule>
  </conditionalFormatting>
  <conditionalFormatting sqref="C52">
    <cfRule type="cellIs" dxfId="115" priority="53" operator="notEqual">
      <formula>""</formula>
    </cfRule>
  </conditionalFormatting>
  <conditionalFormatting sqref="C55">
    <cfRule type="expression" dxfId="114" priority="15">
      <formula>$AC$4=1</formula>
    </cfRule>
  </conditionalFormatting>
  <conditionalFormatting sqref="C39:E46 G39:AZ46">
    <cfRule type="expression" dxfId="113" priority="477">
      <formula>AND($AE$6&lt;&gt;"",$C39&lt;&gt;$AE$6)</formula>
    </cfRule>
  </conditionalFormatting>
  <conditionalFormatting sqref="C39:E46">
    <cfRule type="cellIs" dxfId="112" priority="416" operator="notEqual">
      <formula>""</formula>
    </cfRule>
    <cfRule type="cellIs" dxfId="111" priority="50" operator="equal">
      <formula>""</formula>
    </cfRule>
  </conditionalFormatting>
  <conditionalFormatting sqref="C55:T55">
    <cfRule type="expression" dxfId="110" priority="106">
      <formula>$N$5&lt;&gt;0</formula>
    </cfRule>
  </conditionalFormatting>
  <conditionalFormatting sqref="F2:F3">
    <cfRule type="expression" dxfId="109" priority="22">
      <formula>$AC$4&gt;0</formula>
    </cfRule>
  </conditionalFormatting>
  <conditionalFormatting sqref="G14:N52">
    <cfRule type="cellIs" dxfId="108" priority="60" operator="equal">
      <formula>0</formula>
    </cfRule>
  </conditionalFormatting>
  <conditionalFormatting sqref="G39:AW46 C39:E46">
    <cfRule type="expression" dxfId="107" priority="174">
      <formula>AND($O39&lt;&gt;0,$Q39=0)</formula>
    </cfRule>
  </conditionalFormatting>
  <conditionalFormatting sqref="O10">
    <cfRule type="expression" dxfId="106" priority="33">
      <formula>$C$10&lt;&gt;""</formula>
    </cfRule>
  </conditionalFormatting>
  <conditionalFormatting sqref="O36">
    <cfRule type="cellIs" dxfId="105" priority="181" operator="lessThan">
      <formula>0</formula>
    </cfRule>
  </conditionalFormatting>
  <conditionalFormatting sqref="O52">
    <cfRule type="expression" dxfId="104" priority="35">
      <formula>AND($C$52="",$O$52&lt;&gt;0)</formula>
    </cfRule>
    <cfRule type="expression" dxfId="103" priority="411">
      <formula>$O$52&gt;$AH$6</formula>
    </cfRule>
    <cfRule type="cellIs" dxfId="102" priority="77" operator="lessThan">
      <formula>0</formula>
    </cfRule>
  </conditionalFormatting>
  <conditionalFormatting sqref="O35:Q36">
    <cfRule type="expression" dxfId="101" priority="11">
      <formula>$O$36=0</formula>
    </cfRule>
  </conditionalFormatting>
  <conditionalFormatting sqref="O51:Q52 S52:AA52 AE52 AG52 AI52 AL52:AQ52 AS52:AZ52 R51:AK51 AM51:AU51 AW51:AZ51">
    <cfRule type="expression" dxfId="100" priority="40">
      <formula>$C$52=""</formula>
    </cfRule>
  </conditionalFormatting>
  <conditionalFormatting sqref="O10:R10">
    <cfRule type="expression" dxfId="99" priority="32">
      <formula>$B$10&gt;0</formula>
    </cfRule>
  </conditionalFormatting>
  <conditionalFormatting sqref="O12:AZ13">
    <cfRule type="expression" dxfId="98" priority="5">
      <formula>$M$10=0</formula>
    </cfRule>
  </conditionalFormatting>
  <conditionalFormatting sqref="P51:P52">
    <cfRule type="expression" dxfId="97" priority="25">
      <formula>$O$52&lt;&gt;0</formula>
    </cfRule>
  </conditionalFormatting>
  <conditionalFormatting sqref="P52">
    <cfRule type="cellIs" dxfId="96" priority="109" operator="lessThan">
      <formula>0</formula>
    </cfRule>
  </conditionalFormatting>
  <conditionalFormatting sqref="Q37">
    <cfRule type="expression" dxfId="95" priority="17">
      <formula>$R$36=0</formula>
    </cfRule>
  </conditionalFormatting>
  <conditionalFormatting sqref="Q39:Q46">
    <cfRule type="expression" dxfId="94" priority="736">
      <formula>$C39=""</formula>
    </cfRule>
    <cfRule type="expression" dxfId="93" priority="737">
      <formula>AND($O39=0,$Q39&lt;&gt;0)</formula>
    </cfRule>
  </conditionalFormatting>
  <conditionalFormatting sqref="Q52">
    <cfRule type="expression" dxfId="92" priority="107">
      <formula>$R$51="Wert manuell [-]"</formula>
    </cfRule>
    <cfRule type="expression" dxfId="91" priority="76">
      <formula>$R$51="&lt; nein"</formula>
    </cfRule>
  </conditionalFormatting>
  <conditionalFormatting sqref="R4">
    <cfRule type="cellIs" dxfId="90" priority="227" operator="lessThan">
      <formula>0</formula>
    </cfRule>
  </conditionalFormatting>
  <conditionalFormatting sqref="R52">
    <cfRule type="expression" dxfId="89" priority="41">
      <formula>AND($R$51&lt;&gt;"Wert manuell [-]",$R$52&lt;&gt;0)</formula>
    </cfRule>
    <cfRule type="cellIs" dxfId="88" priority="42" operator="greaterThan">
      <formula>0</formula>
    </cfRule>
    <cfRule type="expression" dxfId="87" priority="43">
      <formula>$R$51="Wert manuell [-]"</formula>
    </cfRule>
    <cfRule type="expression" dxfId="86" priority="38">
      <formula>AND($R$51="Wert manuell [-]",$R$52&lt;0)</formula>
    </cfRule>
  </conditionalFormatting>
  <conditionalFormatting sqref="R35:S37">
    <cfRule type="expression" dxfId="85" priority="18">
      <formula>$R$36=0</formula>
    </cfRule>
  </conditionalFormatting>
  <conditionalFormatting sqref="S10:T10">
    <cfRule type="expression" dxfId="84" priority="67">
      <formula>$B$10&gt;0</formula>
    </cfRule>
  </conditionalFormatting>
  <conditionalFormatting sqref="S52:AA52 AE52 AG52 AI52 AL52:AQ52 AS52:AZ52 R51:AK51 AM51:AU51 AW51:AZ51 Q51:Q52">
    <cfRule type="expression" dxfId="83" priority="39">
      <formula>$O$52&lt;=0</formula>
    </cfRule>
  </conditionalFormatting>
  <conditionalFormatting sqref="U32:W32 AE32:AN32 AP32:AZ32">
    <cfRule type="expression" dxfId="82" priority="176">
      <formula>$P$33&lt;&gt;0</formula>
    </cfRule>
  </conditionalFormatting>
  <conditionalFormatting sqref="U55:AX55">
    <cfRule type="expression" dxfId="81" priority="71">
      <formula>$AC$4=1</formula>
    </cfRule>
  </conditionalFormatting>
  <conditionalFormatting sqref="V35">
    <cfRule type="expression" dxfId="80" priority="133">
      <formula>$V$36=0</formula>
    </cfRule>
  </conditionalFormatting>
  <conditionalFormatting sqref="V10:W10">
    <cfRule type="expression" dxfId="79" priority="27">
      <formula>AND($C$52="",$O$52&lt;&gt;0)</formula>
    </cfRule>
  </conditionalFormatting>
  <conditionalFormatting sqref="V36:AI36 AK36:AO36">
    <cfRule type="cellIs" dxfId="78" priority="138" operator="equal">
      <formula>0</formula>
    </cfRule>
  </conditionalFormatting>
  <conditionalFormatting sqref="X47:AE47 AO47">
    <cfRule type="expression" dxfId="77" priority="743">
      <formula>$C46=""</formula>
    </cfRule>
    <cfRule type="expression" dxfId="76" priority="742">
      <formula>$Q46=0</formula>
    </cfRule>
    <cfRule type="expression" dxfId="75" priority="744">
      <formula>AND($O46=0,$Q46&lt;&gt;0)</formula>
    </cfRule>
  </conditionalFormatting>
  <conditionalFormatting sqref="Y38">
    <cfRule type="expression" dxfId="74" priority="989">
      <formula>AND($C$52&lt;&gt;"",$C38&lt;&gt;$C$52)</formula>
    </cfRule>
  </conditionalFormatting>
  <conditionalFormatting sqref="Y38:Y45 V39:X45 Z39:AS45 C39:E46 O39:T46 AU39:AW46 V46:W46 Y46:Z46 AB46:AC46 AE46:AN46 AP46:AS46">
    <cfRule type="expression" dxfId="73" priority="220">
      <formula>$Q38=0</formula>
    </cfRule>
  </conditionalFormatting>
  <conditionalFormatting sqref="Y55 AE55:AG55 AI55:AU55">
    <cfRule type="expression" dxfId="72" priority="630">
      <formula>AU4=1</formula>
    </cfRule>
  </conditionalFormatting>
  <conditionalFormatting sqref="Y52:AA52 AE52 AG52 AI52 AL52:AN52 AP52:AQ52 AS52">
    <cfRule type="cellIs" dxfId="71" priority="6" operator="notEqual">
      <formula>""</formula>
    </cfRule>
  </conditionalFormatting>
  <conditionalFormatting sqref="Y14:AC31">
    <cfRule type="cellIs" dxfId="70" priority="66" operator="equal">
      <formula>0</formula>
    </cfRule>
  </conditionalFormatting>
  <conditionalFormatting sqref="Z55">
    <cfRule type="expression" dxfId="69" priority="862">
      <formula>BD5=1</formula>
    </cfRule>
  </conditionalFormatting>
  <conditionalFormatting sqref="AA55">
    <cfRule type="expression" dxfId="68" priority="863">
      <formula>BD5=1</formula>
    </cfRule>
  </conditionalFormatting>
  <conditionalFormatting sqref="AA4:AB4">
    <cfRule type="expression" dxfId="67" priority="58">
      <formula>$AC$4&gt;0</formula>
    </cfRule>
  </conditionalFormatting>
  <conditionalFormatting sqref="AB36:AC36 C38:Y38">
    <cfRule type="expression" dxfId="66" priority="13">
      <formula>$R$36+$V$36=0</formula>
    </cfRule>
  </conditionalFormatting>
  <conditionalFormatting sqref="AB38:AC38">
    <cfRule type="cellIs" dxfId="65" priority="8" operator="equal">
      <formula>0</formula>
    </cfRule>
  </conditionalFormatting>
  <conditionalFormatting sqref="AB55:AC55 AH55">
    <cfRule type="expression" dxfId="64" priority="856">
      <formula>#REF!=1</formula>
    </cfRule>
  </conditionalFormatting>
  <conditionalFormatting sqref="AB38:AZ38">
    <cfRule type="expression" dxfId="63" priority="7">
      <formula>$R$36+$V$36=0</formula>
    </cfRule>
  </conditionalFormatting>
  <conditionalFormatting sqref="AC4">
    <cfRule type="cellIs" dxfId="62" priority="59" operator="notEqual">
      <formula>0</formula>
    </cfRule>
  </conditionalFormatting>
  <conditionalFormatting sqref="AD55">
    <cfRule type="expression" dxfId="61" priority="868">
      <formula>AU2=1</formula>
    </cfRule>
  </conditionalFormatting>
  <conditionalFormatting sqref="AE38">
    <cfRule type="expression" dxfId="60" priority="1009">
      <formula>AND($C$52&lt;&gt;"",$C38&lt;&gt;$C$52)</formula>
    </cfRule>
    <cfRule type="expression" dxfId="59" priority="1010">
      <formula>$C38=""</formula>
    </cfRule>
    <cfRule type="expression" dxfId="58" priority="1011">
      <formula>AND($O38=0,$Q38&lt;&gt;0)</formula>
    </cfRule>
    <cfRule type="expression" dxfId="57" priority="1012">
      <formula>$Q38=0</formula>
    </cfRule>
  </conditionalFormatting>
  <conditionalFormatting sqref="AE14:AF31 AI14:AJ31">
    <cfRule type="cellIs" dxfId="56" priority="90" operator="equal">
      <formula>0</formula>
    </cfRule>
  </conditionalFormatting>
  <conditionalFormatting sqref="AH14:AH31">
    <cfRule type="cellIs" dxfId="55" priority="48" operator="lessThanOrEqual">
      <formula>0</formula>
    </cfRule>
  </conditionalFormatting>
  <conditionalFormatting sqref="AK14:AK31">
    <cfRule type="cellIs" dxfId="54" priority="98" operator="equal">
      <formula>0</formula>
    </cfRule>
  </conditionalFormatting>
  <conditionalFormatting sqref="AL14:AM31">
    <cfRule type="cellIs" dxfId="53" priority="97" operator="equal">
      <formula>0</formula>
    </cfRule>
  </conditionalFormatting>
  <conditionalFormatting sqref="AN14:AN31 AS14:AS31">
    <cfRule type="cellIs" dxfId="52" priority="100" operator="equal">
      <formula>0</formula>
    </cfRule>
  </conditionalFormatting>
  <conditionalFormatting sqref="AP2:AP3">
    <cfRule type="expression" dxfId="51" priority="866">
      <formula>$AY$2&lt;0</formula>
    </cfRule>
  </conditionalFormatting>
  <conditionalFormatting sqref="AU3">
    <cfRule type="cellIs" dxfId="50" priority="10" operator="equal">
      <formula>"mit Kirchensteuer"</formula>
    </cfRule>
  </conditionalFormatting>
  <conditionalFormatting sqref="AU10">
    <cfRule type="expression" dxfId="49" priority="438">
      <formula>AC4=1</formula>
    </cfRule>
  </conditionalFormatting>
  <conditionalFormatting sqref="AU13">
    <cfRule type="expression" dxfId="48" priority="9">
      <formula>$AU$13=0</formula>
    </cfRule>
  </conditionalFormatting>
  <conditionalFormatting sqref="AU14:AU31">
    <cfRule type="cellIs" dxfId="47" priority="31" operator="equal">
      <formula>0</formula>
    </cfRule>
  </conditionalFormatting>
  <conditionalFormatting sqref="AU35">
    <cfRule type="expression" dxfId="46" priority="55">
      <formula>$AH$36+$AI$36&gt;0</formula>
    </cfRule>
  </conditionalFormatting>
  <conditionalFormatting sqref="AU36">
    <cfRule type="expression" dxfId="45" priority="54">
      <formula>$AH$36+$AI$36&gt;0</formula>
    </cfRule>
  </conditionalFormatting>
  <conditionalFormatting sqref="AU39:AU46">
    <cfRule type="expression" dxfId="44" priority="768">
      <formula>AND($O39=0,$Q39&lt;&gt;0)</formula>
    </cfRule>
    <cfRule type="expression" dxfId="43" priority="769">
      <formula>$Q39=0</formula>
    </cfRule>
  </conditionalFormatting>
  <conditionalFormatting sqref="AU51">
    <cfRule type="expression" dxfId="42" priority="528">
      <formula>$AW$52="nein"</formula>
    </cfRule>
  </conditionalFormatting>
  <conditionalFormatting sqref="AU52:AV52">
    <cfRule type="expression" dxfId="41" priority="529">
      <formula>$AW$52="nein"</formula>
    </cfRule>
  </conditionalFormatting>
  <conditionalFormatting sqref="AU5:AW5">
    <cfRule type="expression" dxfId="40" priority="26">
      <formula>$AV$6&lt;&gt;""</formula>
    </cfRule>
  </conditionalFormatting>
  <conditionalFormatting sqref="AU6:AW6">
    <cfRule type="expression" dxfId="39" priority="23">
      <formula>AND($AV$6&lt;&gt;"Erfolgsrechnung",$AU$6=0)</formula>
    </cfRule>
    <cfRule type="expression" dxfId="38" priority="44">
      <formula>AND($AV$6&lt;&gt;"Erfolgsrechnung",$AU$6&lt;&gt;0)</formula>
    </cfRule>
  </conditionalFormatting>
  <conditionalFormatting sqref="AU14:AW31">
    <cfRule type="expression" dxfId="37" priority="24">
      <formula>$AU$6=0</formula>
    </cfRule>
  </conditionalFormatting>
  <conditionalFormatting sqref="AV14:AV31 AP14:AR31">
    <cfRule type="cellIs" dxfId="36" priority="81" operator="equal">
      <formula>0</formula>
    </cfRule>
  </conditionalFormatting>
  <conditionalFormatting sqref="AV39:AW46 C39:E46 Y38:Y45 V39:X45 Z39:AS45 O39:T46 V46:W46 Y46:Z46 AB46:AC46 AE46:AN46 AP46:AS46">
    <cfRule type="expression" dxfId="35" priority="210">
      <formula>AND($O38=0,$Q38&lt;&gt;0)</formula>
    </cfRule>
  </conditionalFormatting>
  <conditionalFormatting sqref="AV47:BA47 A47:E48 O47:AU48 AV48:AY48 BA48">
    <cfRule type="expression" dxfId="34" priority="391">
      <formula>$O$55&lt;&gt;0</formula>
    </cfRule>
  </conditionalFormatting>
  <conditionalFormatting sqref="AW10">
    <cfRule type="expression" dxfId="33" priority="45">
      <formula>AC4=1</formula>
    </cfRule>
  </conditionalFormatting>
  <conditionalFormatting sqref="AW14:AW31">
    <cfRule type="cellIs" dxfId="32" priority="183" operator="equal">
      <formula>0</formula>
    </cfRule>
  </conditionalFormatting>
  <conditionalFormatting sqref="AW39:AW46 AW13:AW31">
    <cfRule type="cellIs" dxfId="31" priority="197" operator="lessThan">
      <formula>0</formula>
    </cfRule>
  </conditionalFormatting>
  <conditionalFormatting sqref="AW39:AW46">
    <cfRule type="expression" dxfId="30" priority="185">
      <formula>AND($P39=0,$AW39&gt;=0)</formula>
    </cfRule>
    <cfRule type="expression" dxfId="29" priority="193">
      <formula>AND($P39=0,$AW39&lt;0)</formula>
    </cfRule>
  </conditionalFormatting>
  <conditionalFormatting sqref="AX47:AX48">
    <cfRule type="expression" dxfId="28" priority="395">
      <formula>$O$55&lt;&gt;0</formula>
    </cfRule>
  </conditionalFormatting>
  <conditionalFormatting sqref="AY14:AY31 R36:R37 S37 Y38:Y45 V39:X45 Z39:AS45 C39:E46 O39:T46 AU39:AW46 V46:W46 Y46:Z46 AB46:AC46 AE46:AN46 AP46:AS46">
    <cfRule type="expression" dxfId="27" priority="20">
      <formula>$C14=""</formula>
    </cfRule>
  </conditionalFormatting>
  <conditionalFormatting sqref="AY14:AY31">
    <cfRule type="expression" dxfId="26" priority="1086">
      <formula>$C$52&lt;&gt;""</formula>
    </cfRule>
    <cfRule type="expression" dxfId="25" priority="1085">
      <formula>$C$10&lt;&gt;""</formula>
    </cfRule>
  </conditionalFormatting>
  <conditionalFormatting sqref="AY35">
    <cfRule type="expression" dxfId="24" priority="152">
      <formula>$AZ$36=0</formula>
    </cfRule>
  </conditionalFormatting>
  <conditionalFormatting sqref="AY36 P37 AW37">
    <cfRule type="expression" dxfId="23" priority="116">
      <formula>$C36=""</formula>
    </cfRule>
  </conditionalFormatting>
  <conditionalFormatting sqref="AY36 AY37:AZ37">
    <cfRule type="expression" dxfId="22" priority="184">
      <formula>$C36=""</formula>
    </cfRule>
  </conditionalFormatting>
  <conditionalFormatting sqref="AY36:AY37">
    <cfRule type="cellIs" dxfId="21" priority="194" operator="lessThan">
      <formula>0</formula>
    </cfRule>
  </conditionalFormatting>
  <conditionalFormatting sqref="AY39:AY46">
    <cfRule type="expression" dxfId="20" priority="121">
      <formula>$O39=0</formula>
    </cfRule>
  </conditionalFormatting>
  <conditionalFormatting sqref="AY39:AY47 AY2 AY4">
    <cfRule type="cellIs" dxfId="19" priority="229" operator="lessThan">
      <formula>0</formula>
    </cfRule>
  </conditionalFormatting>
  <conditionalFormatting sqref="AY55">
    <cfRule type="expression" dxfId="18" priority="14">
      <formula>$AC$4=1</formula>
    </cfRule>
  </conditionalFormatting>
  <conditionalFormatting sqref="AY9:AZ11">
    <cfRule type="expression" dxfId="17" priority="1">
      <formula>$M$10=0</formula>
    </cfRule>
  </conditionalFormatting>
  <conditionalFormatting sqref="AY36:AZ36">
    <cfRule type="cellIs" dxfId="16" priority="151" operator="equal">
      <formula>0</formula>
    </cfRule>
  </conditionalFormatting>
  <conditionalFormatting sqref="AY39:AZ46">
    <cfRule type="cellIs" dxfId="15" priority="786" operator="equal">
      <formula>0</formula>
    </cfRule>
    <cfRule type="expression" dxfId="14" priority="787">
      <formula>$C39=""</formula>
    </cfRule>
    <cfRule type="expression" dxfId="13" priority="788">
      <formula>$P39=0</formula>
    </cfRule>
    <cfRule type="expression" dxfId="12" priority="12">
      <formula>B39=""</formula>
    </cfRule>
    <cfRule type="expression" dxfId="11" priority="789">
      <formula>AND($O39=0,$Q39&lt;&gt;0)</formula>
    </cfRule>
  </conditionalFormatting>
  <conditionalFormatting sqref="AY55:AZ55">
    <cfRule type="expression" dxfId="10" priority="36">
      <formula>$N$5&lt;&gt;0</formula>
    </cfRule>
    <cfRule type="expression" dxfId="9" priority="721">
      <formula>$G$5=$H$5</formula>
    </cfRule>
  </conditionalFormatting>
  <conditionalFormatting sqref="AZ14:AZ31">
    <cfRule type="expression" dxfId="8" priority="947">
      <formula>$U$33&lt;&gt;0</formula>
    </cfRule>
    <cfRule type="expression" dxfId="7" priority="948">
      <formula>$C14=""</formula>
    </cfRule>
  </conditionalFormatting>
  <conditionalFormatting sqref="AZ36">
    <cfRule type="cellIs" dxfId="6" priority="182" operator="lessThan">
      <formula>0</formula>
    </cfRule>
  </conditionalFormatting>
  <conditionalFormatting sqref="AZ37">
    <cfRule type="cellIs" dxfId="5" priority="192" operator="lessThan">
      <formula>0</formula>
    </cfRule>
  </conditionalFormatting>
  <conditionalFormatting sqref="AZ39:AZ46">
    <cfRule type="expression" dxfId="4" priority="119">
      <formula>AND($O39=0,$AZ39&lt;0)</formula>
    </cfRule>
    <cfRule type="cellIs" dxfId="3" priority="124" operator="lessThan">
      <formula>0</formula>
    </cfRule>
    <cfRule type="expression" dxfId="2" priority="120">
      <formula>AND($O39=0,$AZ39&gt;=0)</formula>
    </cfRule>
  </conditionalFormatting>
  <conditionalFormatting sqref="BA14:BA31">
    <cfRule type="expression" dxfId="1" priority="224">
      <formula>ISERROR(AZ14)</formula>
    </cfRule>
    <cfRule type="cellIs" dxfId="0" priority="225" operator="equal">
      <formula>""</formula>
    </cfRule>
  </conditionalFormatting>
  <dataValidations count="9">
    <dataValidation type="list" allowBlank="1" showInputMessage="1" showErrorMessage="1" sqref="U4 AX6" xr:uid="{235FB09C-0B87-4EF0-B8C4-0E181D02CC8A}">
      <formula1>"Ê,I"</formula1>
    </dataValidation>
    <dataValidation type="list" allowBlank="1" showInputMessage="1" showErrorMessage="1" sqref="C52" xr:uid="{4D59DDF4-8BA3-4336-A5BE-E8D5DBB88DC1}">
      <formula1>$AF$38:$AF$47</formula1>
    </dataValidation>
    <dataValidation type="list" allowBlank="1" showInputMessage="1" showErrorMessage="1" sqref="AW52" xr:uid="{FDF57F9C-C996-4F97-8E24-57E45BFB946F}">
      <formula1>"ja,nein"</formula1>
    </dataValidation>
    <dataValidation type="list" allowBlank="1" showInputMessage="1" showErrorMessage="1" sqref="Q37" xr:uid="{5C8FD2AE-F31F-4837-8C4E-184A590DC05D}">
      <formula1>":,I"</formula1>
    </dataValidation>
    <dataValidation type="list" allowBlank="1" showInputMessage="1" showErrorMessage="1" sqref="R51" xr:uid="{7C04EA5A-09A5-4BB5-8812-5887A83517A1}">
      <formula1>"&lt; ja,&lt; nein,Wert manuell [-]"</formula1>
    </dataValidation>
    <dataValidation type="list" allowBlank="1" showInputMessage="1" showErrorMessage="1" sqref="AT2:AT4" xr:uid="{2D0D84E5-4F8B-4E55-B32D-2C09A44B1DB7}">
      <formula1>"ÿ,I"</formula1>
    </dataValidation>
    <dataValidation type="list" allowBlank="1" showInputMessage="1" showErrorMessage="1" sqref="AU3" xr:uid="{8505E32B-0AB1-41F3-93AD-C204B21630D9}">
      <formula1>"mit Kirchensteuer,ohne Kirchensteuer"</formula1>
    </dataValidation>
    <dataValidation type="list" allowBlank="1" showInputMessage="1" showErrorMessage="1" sqref="C10" xr:uid="{5392A533-CE76-40E5-9332-74EBBFE76D32}">
      <formula1>$E$14:$E$32</formula1>
    </dataValidation>
    <dataValidation type="list" allowBlank="1" showInputMessage="1" showErrorMessage="1" sqref="C39:C46" xr:uid="{7937F1B3-F422-41B0-BD98-EA50A078815E}">
      <formula1>$D$13:$D$32</formula1>
    </dataValidation>
  </dataValidations>
  <printOptions horizontalCentered="1"/>
  <pageMargins left="0" right="0" top="0" bottom="0.31496062992125984" header="0" footer="0"/>
  <pageSetup paperSize="9" fitToHeight="0" orientation="landscape" horizontalDpi="4294967295" verticalDpi="4294967295" r:id="rId1"/>
  <headerFooter>
    <oddFooter>&amp;L&amp;"Arial,Fett"&amp;8&amp;F&amp;C&amp;"Arial,Fett"&amp;8Seite &amp;P von &amp;N&amp;R&amp;"Arial,Fett"&amp;8Druck: &amp;D, &amp;T Uhr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8C45D-2D29-4633-ABBB-172303395F6A}">
  <sheetPr>
    <pageSetUpPr fitToPage="1"/>
  </sheetPr>
  <dimension ref="A1:X170"/>
  <sheetViews>
    <sheetView showGridLines="0" showRowColHeaders="0" workbookViewId="0"/>
  </sheetViews>
  <sheetFormatPr baseColWidth="10" defaultColWidth="9.77734375" defaultRowHeight="15.4"/>
  <cols>
    <col min="1" max="2" width="0.83203125" style="25" customWidth="1"/>
    <col min="3" max="3" width="1.44140625" style="100" customWidth="1"/>
    <col min="4" max="4" width="9.609375" style="25" customWidth="1"/>
    <col min="5" max="5" width="5.109375" style="26" customWidth="1"/>
    <col min="6" max="6" width="9.1640625" style="27" customWidth="1"/>
    <col min="7" max="7" width="6.94140625" style="901" bestFit="1" customWidth="1"/>
    <col min="8" max="8" width="9.109375" style="28" customWidth="1"/>
    <col min="9" max="9" width="8.609375" style="28" customWidth="1"/>
    <col min="10" max="10" width="8.609375" style="90" customWidth="1"/>
    <col min="11" max="11" width="0.83203125" style="111" customWidth="1"/>
    <col min="12" max="12" width="8.609375" style="28" customWidth="1"/>
    <col min="13" max="13" width="7.609375" style="29" customWidth="1"/>
    <col min="14" max="14" width="9.609375" style="68" hidden="1" customWidth="1"/>
    <col min="15" max="16" width="11.109375" style="30" hidden="1" customWidth="1"/>
    <col min="17" max="17" width="6.609375" style="30" customWidth="1"/>
    <col min="18" max="18" width="0.83203125" style="107" customWidth="1"/>
    <col min="19" max="19" width="9.609375" style="25" customWidth="1"/>
    <col min="20" max="20" width="9.109375" style="25" customWidth="1"/>
    <col min="21" max="21" width="0.83203125" style="41" customWidth="1"/>
    <col min="22" max="16384" width="9.77734375" style="25"/>
  </cols>
  <sheetData>
    <row r="1" spans="1:24" s="6" customFormat="1" ht="3" customHeight="1">
      <c r="A1" s="236"/>
      <c r="B1" s="1"/>
      <c r="C1" s="98"/>
      <c r="D1" s="1"/>
      <c r="E1" s="2"/>
      <c r="F1" s="3"/>
      <c r="G1" s="591"/>
      <c r="H1" s="4"/>
      <c r="I1" s="4"/>
      <c r="J1" s="85"/>
      <c r="K1" s="108"/>
      <c r="L1" s="4"/>
      <c r="M1" s="5"/>
      <c r="N1" s="80"/>
      <c r="O1" s="81"/>
      <c r="P1" s="81"/>
      <c r="Q1" s="7"/>
      <c r="R1" s="102"/>
      <c r="U1" s="31"/>
    </row>
    <row r="2" spans="1:24" s="6" customFormat="1" ht="22.05" customHeight="1">
      <c r="B2" s="1045" t="s">
        <v>62</v>
      </c>
      <c r="C2" s="1045"/>
      <c r="D2" s="1045"/>
      <c r="E2" s="1045"/>
      <c r="F2" s="1045"/>
      <c r="G2" s="593"/>
      <c r="H2" s="4"/>
      <c r="I2" s="4"/>
      <c r="J2" s="85"/>
      <c r="K2" s="108"/>
      <c r="L2" s="594" t="s">
        <v>122</v>
      </c>
      <c r="M2" s="595">
        <v>-2391.6999999999998</v>
      </c>
      <c r="N2" s="80"/>
      <c r="O2" s="81"/>
      <c r="P2" s="81"/>
      <c r="Q2" s="596" t="s">
        <v>123</v>
      </c>
      <c r="R2" s="102"/>
      <c r="T2" s="597" t="s">
        <v>78</v>
      </c>
      <c r="U2" s="31"/>
    </row>
    <row r="3" spans="1:24" s="6" customFormat="1" ht="3" customHeight="1">
      <c r="B3" s="1"/>
      <c r="C3" s="98"/>
      <c r="D3" s="1"/>
      <c r="E3" s="2"/>
      <c r="F3" s="3"/>
      <c r="G3" s="591"/>
      <c r="H3" s="4"/>
      <c r="I3" s="4"/>
      <c r="J3" s="85"/>
      <c r="K3" s="108"/>
      <c r="L3" s="4"/>
      <c r="M3" s="5"/>
      <c r="N3" s="80"/>
      <c r="O3" s="81"/>
      <c r="P3" s="81"/>
      <c r="Q3" s="7"/>
      <c r="R3" s="102"/>
      <c r="U3" s="31"/>
    </row>
    <row r="4" spans="1:24" s="6" customFormat="1" ht="22.05" customHeight="1">
      <c r="B4" s="8"/>
      <c r="C4" s="98"/>
      <c r="D4" s="598" t="s">
        <v>19</v>
      </c>
      <c r="E4" s="1046" t="s">
        <v>35</v>
      </c>
      <c r="F4" s="1047"/>
      <c r="G4" s="1048"/>
      <c r="H4" s="1049" t="s">
        <v>44</v>
      </c>
      <c r="I4" s="1050"/>
      <c r="J4" s="1050"/>
      <c r="K4" s="108"/>
      <c r="L4" s="594" t="s">
        <v>30</v>
      </c>
      <c r="M4" s="599">
        <v>1000</v>
      </c>
      <c r="N4" s="600"/>
      <c r="O4" s="600"/>
      <c r="P4" s="600"/>
      <c r="Q4" s="596" t="s">
        <v>124</v>
      </c>
      <c r="R4" s="596"/>
      <c r="S4" s="596"/>
      <c r="T4" s="596"/>
      <c r="U4" s="40"/>
    </row>
    <row r="5" spans="1:24" s="6" customFormat="1" ht="22.05" customHeight="1">
      <c r="B5" s="9"/>
      <c r="C5" s="9"/>
      <c r="D5" s="1051" t="s">
        <v>34</v>
      </c>
      <c r="E5" s="1051"/>
      <c r="F5" s="1051"/>
      <c r="G5" s="1051"/>
      <c r="H5" s="123" t="s">
        <v>43</v>
      </c>
      <c r="I5" s="1052" t="s">
        <v>121</v>
      </c>
      <c r="J5" s="1052"/>
      <c r="K5" s="1073" t="s">
        <v>41</v>
      </c>
      <c r="L5" s="1073"/>
      <c r="N5" s="63"/>
      <c r="O5" s="11"/>
      <c r="P5" s="11"/>
      <c r="Q5" s="1063" t="s">
        <v>61</v>
      </c>
      <c r="R5" s="1064"/>
      <c r="S5" s="1064"/>
      <c r="T5" s="1064"/>
      <c r="U5" s="40"/>
    </row>
    <row r="6" spans="1:24" s="6" customFormat="1" ht="3" customHeight="1">
      <c r="B6" s="9"/>
      <c r="C6" s="9"/>
      <c r="D6" s="601"/>
      <c r="E6" s="602"/>
      <c r="F6" s="602"/>
      <c r="G6" s="603"/>
      <c r="H6" s="602"/>
      <c r="I6" s="602"/>
      <c r="J6" s="604"/>
      <c r="K6" s="108"/>
      <c r="N6" s="63"/>
      <c r="O6" s="11"/>
      <c r="P6" s="11"/>
      <c r="Q6" s="1064"/>
      <c r="R6" s="1064"/>
      <c r="S6" s="1064"/>
      <c r="T6" s="1064"/>
      <c r="U6" s="40"/>
    </row>
    <row r="7" spans="1:24" s="6" customFormat="1" ht="13.25" customHeight="1" thickBot="1">
      <c r="B7" s="9"/>
      <c r="C7" s="9"/>
      <c r="D7" s="1065" t="s">
        <v>45</v>
      </c>
      <c r="E7" s="1065"/>
      <c r="F7" s="1065"/>
      <c r="G7" s="1066" t="s">
        <v>125</v>
      </c>
      <c r="H7" s="1067"/>
      <c r="I7" s="1067"/>
      <c r="J7" s="1067"/>
      <c r="K7" s="1067"/>
      <c r="L7" s="1067"/>
      <c r="M7" s="46"/>
      <c r="N7" s="64"/>
      <c r="O7" s="44"/>
      <c r="P7" s="44"/>
      <c r="Q7" s="44"/>
      <c r="R7" s="103"/>
      <c r="S7" s="981" t="s">
        <v>28</v>
      </c>
      <c r="T7" s="981"/>
      <c r="U7" s="40"/>
    </row>
    <row r="8" spans="1:24" s="12" customFormat="1" ht="13.15" customHeight="1" thickBot="1">
      <c r="B8" s="38"/>
      <c r="D8" s="606"/>
      <c r="E8" s="607"/>
      <c r="F8" s="608"/>
      <c r="G8" s="1068" t="s">
        <v>46</v>
      </c>
      <c r="H8" s="1068"/>
      <c r="I8" s="1068"/>
      <c r="J8" s="1068"/>
      <c r="K8" s="1068"/>
      <c r="L8" s="1068"/>
      <c r="M8" s="1068"/>
      <c r="N8" s="64"/>
      <c r="O8" s="44"/>
      <c r="P8" s="44"/>
      <c r="Q8" s="1069" t="s">
        <v>41</v>
      </c>
      <c r="R8" s="1070"/>
      <c r="S8" s="1071" t="s">
        <v>42</v>
      </c>
      <c r="T8" s="1072"/>
      <c r="U8" s="40"/>
    </row>
    <row r="9" spans="1:24" s="6" customFormat="1" ht="3" customHeight="1" thickBot="1">
      <c r="B9" s="8"/>
      <c r="C9" s="609"/>
      <c r="D9" s="610"/>
      <c r="E9" s="611"/>
      <c r="F9" s="612"/>
      <c r="G9" s="613"/>
      <c r="H9" s="614"/>
      <c r="I9" s="615"/>
      <c r="J9" s="616"/>
      <c r="K9" s="109"/>
      <c r="L9" s="617"/>
      <c r="M9" s="618"/>
      <c r="N9" s="619"/>
      <c r="O9" s="620"/>
      <c r="P9" s="620"/>
      <c r="Q9" s="620"/>
      <c r="R9" s="621"/>
      <c r="S9" s="622"/>
      <c r="T9" s="622"/>
      <c r="U9" s="623"/>
    </row>
    <row r="10" spans="1:24" s="6" customFormat="1" ht="3" customHeight="1">
      <c r="B10" s="8"/>
      <c r="C10" s="624"/>
      <c r="D10" s="625"/>
      <c r="E10" s="626"/>
      <c r="F10" s="627"/>
      <c r="G10" s="628"/>
      <c r="H10" s="115"/>
      <c r="I10" s="116"/>
      <c r="J10" s="117"/>
      <c r="K10" s="108"/>
      <c r="L10" s="118"/>
      <c r="M10" s="119"/>
      <c r="N10" s="65"/>
      <c r="O10" s="60"/>
      <c r="P10" s="60"/>
      <c r="Q10" s="60"/>
      <c r="R10" s="104"/>
      <c r="S10" s="629"/>
      <c r="T10" s="629"/>
      <c r="U10" s="40"/>
    </row>
    <row r="11" spans="1:24" s="6" customFormat="1" ht="22.05" customHeight="1">
      <c r="B11" s="1045" t="s">
        <v>97</v>
      </c>
      <c r="C11" s="1045"/>
      <c r="D11" s="1045"/>
      <c r="E11" s="1045"/>
      <c r="F11" s="1045"/>
      <c r="G11" s="593"/>
      <c r="H11" s="4"/>
      <c r="I11" s="4"/>
      <c r="J11" s="85"/>
      <c r="K11" s="108"/>
      <c r="L11" s="108"/>
      <c r="M11" s="108"/>
      <c r="N11" s="108"/>
      <c r="O11" s="108"/>
      <c r="P11" s="108"/>
      <c r="Q11" s="108"/>
      <c r="R11" s="108"/>
      <c r="S11" s="108"/>
      <c r="T11" s="108"/>
      <c r="U11" s="108"/>
      <c r="V11" s="108"/>
      <c r="W11" s="108"/>
      <c r="X11" s="108"/>
    </row>
    <row r="12" spans="1:24" s="6" customFormat="1" ht="3" customHeight="1">
      <c r="B12" s="592"/>
      <c r="C12" s="592"/>
      <c r="D12" s="592"/>
      <c r="E12" s="592"/>
      <c r="F12" s="592"/>
      <c r="G12" s="593"/>
      <c r="H12" s="4"/>
      <c r="I12" s="4"/>
      <c r="J12" s="85"/>
      <c r="K12" s="108"/>
      <c r="L12" s="108"/>
      <c r="M12" s="108"/>
      <c r="N12" s="108"/>
      <c r="O12" s="108"/>
      <c r="P12" s="108"/>
      <c r="Q12" s="108"/>
      <c r="R12" s="108"/>
      <c r="S12" s="108"/>
      <c r="T12" s="108"/>
      <c r="U12" s="108"/>
      <c r="V12" s="108"/>
      <c r="W12" s="108"/>
      <c r="X12" s="108"/>
    </row>
    <row r="13" spans="1:24" s="6" customFormat="1" ht="13.25" customHeight="1">
      <c r="B13" s="630"/>
      <c r="C13" s="630"/>
      <c r="D13" s="631" t="s">
        <v>48</v>
      </c>
      <c r="E13" s="1053" t="s">
        <v>133</v>
      </c>
      <c r="F13" s="1054"/>
      <c r="G13" s="1054"/>
      <c r="H13" s="1054"/>
      <c r="I13" s="1054"/>
      <c r="J13" s="1054"/>
      <c r="K13" s="1054"/>
      <c r="L13" s="1054"/>
      <c r="M13" s="1054"/>
      <c r="N13" s="1054"/>
      <c r="O13" s="1054"/>
      <c r="P13" s="1054"/>
      <c r="Q13" s="1054"/>
      <c r="R13" s="1054"/>
      <c r="S13" s="1054"/>
      <c r="T13" s="1054"/>
      <c r="U13" s="1054"/>
    </row>
    <row r="14" spans="1:24" s="6" customFormat="1" ht="3" customHeight="1">
      <c r="B14" s="8"/>
      <c r="C14" s="624"/>
      <c r="D14" s="625"/>
      <c r="E14" s="626"/>
      <c r="F14" s="627"/>
      <c r="G14" s="628"/>
      <c r="H14" s="115"/>
      <c r="I14" s="116"/>
      <c r="J14" s="117"/>
      <c r="K14" s="108"/>
      <c r="L14" s="118"/>
      <c r="M14" s="119"/>
      <c r="N14" s="65"/>
      <c r="O14" s="60"/>
      <c r="P14" s="60"/>
      <c r="Q14" s="60"/>
      <c r="R14" s="104"/>
      <c r="S14" s="629"/>
      <c r="T14" s="629"/>
      <c r="U14" s="40"/>
    </row>
    <row r="15" spans="1:24" s="122" customFormat="1" ht="13.35" customHeight="1">
      <c r="B15" s="587"/>
      <c r="C15" s="632" t="s">
        <v>33</v>
      </c>
      <c r="D15" s="633" t="s">
        <v>31</v>
      </c>
      <c r="E15" s="634" t="s">
        <v>3</v>
      </c>
      <c r="F15" s="635" t="s">
        <v>2</v>
      </c>
      <c r="G15" s="635" t="s">
        <v>4</v>
      </c>
      <c r="H15" s="636" t="s">
        <v>1</v>
      </c>
      <c r="I15" s="636" t="s">
        <v>5</v>
      </c>
      <c r="J15" s="636" t="s">
        <v>10</v>
      </c>
      <c r="K15" s="637"/>
      <c r="L15" s="638" t="s">
        <v>19</v>
      </c>
      <c r="M15" s="638" t="s">
        <v>6</v>
      </c>
      <c r="N15" s="636" t="s">
        <v>14</v>
      </c>
      <c r="O15" s="639" t="s">
        <v>15</v>
      </c>
      <c r="P15" s="640"/>
      <c r="Q15" s="641" t="s">
        <v>21</v>
      </c>
      <c r="R15" s="642"/>
      <c r="S15" s="636" t="s">
        <v>23</v>
      </c>
      <c r="T15" s="636" t="s">
        <v>39</v>
      </c>
      <c r="U15" s="40"/>
    </row>
    <row r="16" spans="1:24" s="122" customFormat="1" ht="10.050000000000001" customHeight="1">
      <c r="B16" s="587"/>
      <c r="C16" s="643"/>
      <c r="D16" s="644"/>
      <c r="E16" s="645"/>
      <c r="F16" s="646"/>
      <c r="G16" s="647"/>
      <c r="H16" s="648"/>
      <c r="I16" s="649"/>
      <c r="J16" s="649"/>
      <c r="K16" s="637"/>
      <c r="L16" s="650"/>
      <c r="M16" s="651"/>
      <c r="N16" s="652" t="s">
        <v>4</v>
      </c>
      <c r="O16" s="653" t="s">
        <v>18</v>
      </c>
      <c r="P16" s="654"/>
      <c r="Q16" s="655"/>
      <c r="R16" s="656"/>
      <c r="S16" s="657"/>
      <c r="T16" s="657"/>
      <c r="U16" s="40"/>
    </row>
    <row r="17" spans="2:21" s="12" customFormat="1" ht="13.25" customHeight="1">
      <c r="B17" s="9"/>
      <c r="C17" s="9" t="str">
        <f>IF(D17="","",IF(D17="§-AGV","§",IF(D17="€-Einlage","€",IF(D17="$-Bank","$",IF(N17=0,"x",IF(N17&lt;&gt;0,"A",""))))))</f>
        <v>€</v>
      </c>
      <c r="D17" s="658" t="s">
        <v>24</v>
      </c>
      <c r="E17" s="659" t="s">
        <v>36</v>
      </c>
      <c r="F17" s="660">
        <v>45743</v>
      </c>
      <c r="G17" s="661"/>
      <c r="H17" s="662"/>
      <c r="I17" s="663"/>
      <c r="J17" s="664" t="s">
        <v>26</v>
      </c>
      <c r="K17" s="108">
        <v>1</v>
      </c>
      <c r="L17" s="665">
        <v>20000</v>
      </c>
      <c r="M17" s="666"/>
      <c r="N17" s="667">
        <v>0</v>
      </c>
      <c r="O17" s="668">
        <v>0</v>
      </c>
      <c r="P17" s="669"/>
      <c r="Q17" s="670" t="s">
        <v>26</v>
      </c>
      <c r="R17" s="54">
        <v>1</v>
      </c>
      <c r="S17" s="671"/>
      <c r="T17" s="672"/>
      <c r="U17" s="40"/>
    </row>
    <row r="18" spans="2:21" s="12" customFormat="1" ht="13.15">
      <c r="B18" s="9"/>
      <c r="C18" s="9" t="str">
        <f t="shared" ref="C18:C22" si="0">IF(D18="","",IF(D18="§-AGV","§",IF(D18="€-Einlage","€",IF(D18="$-Bank","$",IF(N18=0,"x",IF(N18&lt;&gt;0,"A",""))))))</f>
        <v>$</v>
      </c>
      <c r="D18" s="673" t="s">
        <v>25</v>
      </c>
      <c r="E18" s="659" t="s">
        <v>36</v>
      </c>
      <c r="F18" s="660">
        <v>45744</v>
      </c>
      <c r="G18" s="661"/>
      <c r="H18" s="662"/>
      <c r="I18" s="663"/>
      <c r="J18" s="664" t="s">
        <v>26</v>
      </c>
      <c r="K18" s="108">
        <v>1</v>
      </c>
      <c r="L18" s="665">
        <v>-9.5</v>
      </c>
      <c r="M18" s="674"/>
      <c r="N18" s="667">
        <v>0</v>
      </c>
      <c r="O18" s="668">
        <v>0</v>
      </c>
      <c r="P18" s="669"/>
      <c r="Q18" s="670" t="s">
        <v>26</v>
      </c>
      <c r="R18" s="54">
        <v>2</v>
      </c>
      <c r="S18" s="671"/>
      <c r="T18" s="672"/>
      <c r="U18" s="40"/>
    </row>
    <row r="19" spans="2:21" s="12" customFormat="1" ht="13.15">
      <c r="B19" s="9"/>
      <c r="C19" s="9" t="str">
        <f t="shared" si="0"/>
        <v>x</v>
      </c>
      <c r="D19" s="658" t="s">
        <v>47</v>
      </c>
      <c r="E19" s="659" t="s">
        <v>49</v>
      </c>
      <c r="F19" s="660">
        <v>45745</v>
      </c>
      <c r="G19" s="661"/>
      <c r="H19" s="662"/>
      <c r="I19" s="663"/>
      <c r="J19" s="664"/>
      <c r="K19" s="108">
        <v>1</v>
      </c>
      <c r="L19" s="665"/>
      <c r="M19" s="666">
        <v>-123</v>
      </c>
      <c r="N19" s="667">
        <v>0</v>
      </c>
      <c r="O19" s="668">
        <v>0</v>
      </c>
      <c r="P19" s="669"/>
      <c r="Q19" s="670"/>
      <c r="R19" s="54">
        <v>3</v>
      </c>
      <c r="S19" s="671"/>
      <c r="T19" s="672"/>
      <c r="U19" s="40"/>
    </row>
    <row r="20" spans="2:21" s="12" customFormat="1" ht="13.15">
      <c r="B20" s="9"/>
      <c r="C20" s="9" t="str">
        <f>IF(D20="","",IF(D20="§-AGV","§",IF(D20="€-Einlage","€",IF(D20="$-Bank","$",IF(N20=0,"x",IF(N20&lt;&gt;0,"A",""))))))</f>
        <v>A</v>
      </c>
      <c r="D20" s="658" t="s">
        <v>48</v>
      </c>
      <c r="E20" s="659">
        <v>40</v>
      </c>
      <c r="F20" s="660">
        <v>45746</v>
      </c>
      <c r="G20" s="661">
        <v>98.76</v>
      </c>
      <c r="H20" s="675">
        <f>-G20*E20</f>
        <v>-3950.4</v>
      </c>
      <c r="I20" s="663"/>
      <c r="J20" s="664" t="s">
        <v>26</v>
      </c>
      <c r="K20" s="108">
        <v>1</v>
      </c>
      <c r="L20" s="665">
        <v>-12</v>
      </c>
      <c r="M20" s="666"/>
      <c r="N20" s="667">
        <v>150</v>
      </c>
      <c r="O20" s="668">
        <v>9938.4</v>
      </c>
      <c r="P20" s="669"/>
      <c r="Q20" s="670"/>
      <c r="R20" s="54">
        <v>4</v>
      </c>
      <c r="S20" s="671"/>
      <c r="T20" s="672"/>
      <c r="U20" s="40"/>
    </row>
    <row r="21" spans="2:21" s="12" customFormat="1" ht="13.15">
      <c r="B21" s="9"/>
      <c r="C21" s="9" t="str">
        <f>IF(D21="","",IF(D21="§-AGV","§",IF(D21="€-Einlage","€",IF(D21="$-Bank","$",IF(N21=0,"x",IF(N21&lt;&gt;0,"A",""))))))</f>
        <v>A</v>
      </c>
      <c r="D21" s="658" t="s">
        <v>48</v>
      </c>
      <c r="E21" s="659" t="s">
        <v>20</v>
      </c>
      <c r="F21" s="660">
        <v>45747</v>
      </c>
      <c r="G21" s="661"/>
      <c r="H21" s="662"/>
      <c r="I21" s="663"/>
      <c r="J21" s="664">
        <v>246.8</v>
      </c>
      <c r="K21" s="108">
        <v>1</v>
      </c>
      <c r="L21" s="665"/>
      <c r="M21" s="676"/>
      <c r="N21" s="667">
        <v>150</v>
      </c>
      <c r="O21" s="668">
        <v>0</v>
      </c>
      <c r="P21" s="669"/>
      <c r="Q21" s="670"/>
      <c r="R21" s="54">
        <v>5</v>
      </c>
      <c r="S21" s="671"/>
      <c r="T21" s="672"/>
      <c r="U21" s="40"/>
    </row>
    <row r="22" spans="2:21" s="12" customFormat="1" ht="13.15">
      <c r="B22" s="9"/>
      <c r="C22" s="9" t="str">
        <f t="shared" si="0"/>
        <v>A</v>
      </c>
      <c r="D22" s="658" t="s">
        <v>48</v>
      </c>
      <c r="E22" s="659">
        <v>-30</v>
      </c>
      <c r="F22" s="660">
        <v>45748</v>
      </c>
      <c r="G22" s="661">
        <v>123.45</v>
      </c>
      <c r="H22" s="662"/>
      <c r="I22" s="677">
        <f>-G22*E22</f>
        <v>3703.5</v>
      </c>
      <c r="J22" s="664" t="s">
        <v>26</v>
      </c>
      <c r="K22" s="108">
        <v>1</v>
      </c>
      <c r="L22" s="665">
        <v>-15</v>
      </c>
      <c r="M22" s="666">
        <v>-999.95</v>
      </c>
      <c r="N22" s="667">
        <v>150</v>
      </c>
      <c r="O22" s="668">
        <v>0</v>
      </c>
      <c r="P22" s="669"/>
      <c r="Q22" s="670"/>
      <c r="R22" s="54">
        <v>6</v>
      </c>
      <c r="S22" s="678"/>
      <c r="T22" s="679"/>
      <c r="U22" s="40"/>
    </row>
    <row r="23" spans="2:21" s="12" customFormat="1" ht="13.15">
      <c r="B23" s="9"/>
      <c r="C23" s="1055"/>
      <c r="D23" s="1056" t="s">
        <v>128</v>
      </c>
      <c r="E23" s="680" t="s">
        <v>12</v>
      </c>
      <c r="F23" s="680" t="s">
        <v>12</v>
      </c>
      <c r="G23" s="681" t="s">
        <v>50</v>
      </c>
      <c r="H23" s="682"/>
      <c r="I23" s="683"/>
      <c r="J23" s="1058" t="s">
        <v>53</v>
      </c>
      <c r="K23" s="684"/>
      <c r="L23" s="680" t="s">
        <v>12</v>
      </c>
      <c r="M23" s="681" t="s">
        <v>51</v>
      </c>
      <c r="N23" s="685">
        <f>SUMIF($D$56:$D$93,D23,$G$56:$G$93)</f>
        <v>0</v>
      </c>
      <c r="O23" s="686"/>
      <c r="P23" s="686"/>
      <c r="Q23" s="687"/>
      <c r="R23" s="688"/>
      <c r="S23" s="689"/>
      <c r="T23" s="1058" t="s">
        <v>93</v>
      </c>
      <c r="U23" s="40"/>
    </row>
    <row r="24" spans="2:21" s="12" customFormat="1" ht="13.15">
      <c r="B24" s="9"/>
      <c r="C24" s="1055"/>
      <c r="D24" s="1057"/>
      <c r="E24" s="680" t="s">
        <v>12</v>
      </c>
      <c r="F24" s="1060" t="s">
        <v>54</v>
      </c>
      <c r="G24" s="1060"/>
      <c r="H24" s="1060"/>
      <c r="I24" s="683"/>
      <c r="J24" s="1059"/>
      <c r="K24" s="684"/>
      <c r="L24" s="681" t="s">
        <v>52</v>
      </c>
      <c r="M24" s="690"/>
      <c r="N24" s="685"/>
      <c r="O24" s="686"/>
      <c r="P24" s="686"/>
      <c r="Q24" s="687"/>
      <c r="R24" s="688"/>
      <c r="S24" s="689"/>
      <c r="T24" s="1059"/>
      <c r="U24" s="40"/>
    </row>
    <row r="25" spans="2:21" s="12" customFormat="1" ht="13.15">
      <c r="B25" s="9"/>
      <c r="C25" s="1055"/>
      <c r="D25" s="1057"/>
      <c r="E25" s="1061" t="s">
        <v>129</v>
      </c>
      <c r="F25" s="1061"/>
      <c r="G25" s="1061"/>
      <c r="H25" s="1061"/>
      <c r="I25" s="1061"/>
      <c r="J25" s="1059"/>
      <c r="K25" s="684"/>
      <c r="L25" s="682"/>
      <c r="M25" s="690"/>
      <c r="N25" s="685"/>
      <c r="O25" s="686"/>
      <c r="P25" s="686"/>
      <c r="Q25" s="687"/>
      <c r="R25" s="688"/>
      <c r="S25" s="689"/>
      <c r="T25" s="1059"/>
      <c r="U25" s="40"/>
    </row>
    <row r="26" spans="2:21" s="12" customFormat="1" ht="3" customHeight="1">
      <c r="B26" s="9"/>
      <c r="C26" s="1055"/>
      <c r="D26" s="1057"/>
      <c r="E26" s="1062"/>
      <c r="F26" s="1062"/>
      <c r="G26" s="1062"/>
      <c r="H26" s="1062"/>
      <c r="I26" s="1062"/>
      <c r="J26" s="1062"/>
      <c r="K26" s="1062"/>
      <c r="L26" s="1062"/>
      <c r="M26" s="1062"/>
      <c r="N26" s="1062"/>
      <c r="O26" s="1062"/>
      <c r="P26" s="1062"/>
      <c r="Q26" s="1062"/>
      <c r="R26" s="1062"/>
      <c r="S26" s="1062"/>
      <c r="T26" s="1059"/>
      <c r="U26" s="40"/>
    </row>
    <row r="27" spans="2:21" s="12" customFormat="1" ht="12.75" customHeight="1">
      <c r="B27" s="9"/>
      <c r="C27" s="966" t="s">
        <v>12</v>
      </c>
      <c r="D27" s="1075" t="s">
        <v>191</v>
      </c>
      <c r="E27" s="1075"/>
      <c r="F27" s="1075"/>
      <c r="G27" s="1075"/>
      <c r="H27" s="1075"/>
      <c r="I27" s="1075"/>
      <c r="J27" s="1075"/>
      <c r="K27" s="1075"/>
      <c r="L27" s="1075"/>
      <c r="M27" s="1075"/>
      <c r="N27" s="1075"/>
      <c r="O27" s="1075"/>
      <c r="P27" s="1075"/>
      <c r="Q27" s="1075"/>
      <c r="R27" s="1075"/>
      <c r="S27" s="1075"/>
      <c r="T27" s="1075"/>
      <c r="U27" s="40"/>
    </row>
    <row r="28" spans="2:21" s="12" customFormat="1" ht="12.75" customHeight="1">
      <c r="B28" s="9"/>
      <c r="C28" s="293"/>
      <c r="D28" s="1085" t="s">
        <v>193</v>
      </c>
      <c r="E28" s="1085"/>
      <c r="F28" s="1085"/>
      <c r="G28" s="1085"/>
      <c r="H28" s="1085"/>
      <c r="I28" s="1085"/>
      <c r="J28" s="1085"/>
      <c r="K28" s="1085"/>
      <c r="L28" s="1085"/>
      <c r="M28" s="1085"/>
      <c r="N28" s="1085"/>
      <c r="O28" s="1085"/>
      <c r="P28" s="1085"/>
      <c r="Q28" s="1085"/>
      <c r="R28" s="1085"/>
      <c r="S28" s="1085"/>
      <c r="T28" s="1085"/>
      <c r="U28" s="40"/>
    </row>
    <row r="29" spans="2:21" s="12" customFormat="1" ht="12.75" customHeight="1">
      <c r="B29" s="9"/>
      <c r="C29" s="293"/>
      <c r="D29" s="1076" t="s">
        <v>192</v>
      </c>
      <c r="E29" s="1076"/>
      <c r="F29" s="1076"/>
      <c r="G29" s="1076"/>
      <c r="H29" s="1076"/>
      <c r="I29" s="1076"/>
      <c r="J29" s="1076"/>
      <c r="K29" s="1076"/>
      <c r="L29" s="1076"/>
      <c r="M29" s="1076"/>
      <c r="N29" s="1076"/>
      <c r="O29" s="1076"/>
      <c r="P29" s="1076"/>
      <c r="Q29" s="1076"/>
      <c r="R29" s="1076"/>
      <c r="S29" s="1076"/>
      <c r="T29" s="1076"/>
      <c r="U29" s="40"/>
    </row>
    <row r="30" spans="2:21" s="12" customFormat="1" ht="3" customHeight="1">
      <c r="B30" s="9"/>
      <c r="C30" s="9"/>
      <c r="D30" s="691"/>
      <c r="E30" s="626"/>
      <c r="F30" s="692"/>
      <c r="G30" s="693"/>
      <c r="H30" s="694"/>
      <c r="I30" s="116"/>
      <c r="J30" s="117"/>
      <c r="K30" s="108"/>
      <c r="L30" s="694"/>
      <c r="M30" s="119"/>
      <c r="N30" s="695"/>
      <c r="O30" s="696"/>
      <c r="P30" s="696"/>
      <c r="Q30" s="697"/>
      <c r="R30" s="54"/>
      <c r="S30" s="60"/>
      <c r="T30" s="60"/>
      <c r="U30" s="40"/>
    </row>
    <row r="31" spans="2:21" s="12" customFormat="1" ht="17.649999999999999">
      <c r="B31" s="9"/>
      <c r="C31" s="1077" t="s">
        <v>59</v>
      </c>
      <c r="D31" s="1077"/>
      <c r="E31" s="1077"/>
      <c r="F31" s="1077"/>
      <c r="G31" s="699" t="s">
        <v>140</v>
      </c>
      <c r="I31" s="700"/>
      <c r="J31" s="700"/>
      <c r="K31" s="700"/>
      <c r="L31" s="700"/>
      <c r="M31" s="700"/>
      <c r="N31" s="701"/>
      <c r="O31" s="702"/>
      <c r="P31" s="702"/>
      <c r="Q31" s="703"/>
      <c r="R31" s="704"/>
      <c r="S31" s="705"/>
      <c r="T31" s="705"/>
      <c r="U31" s="40"/>
    </row>
    <row r="32" spans="2:21" s="15" customFormat="1" ht="11.65">
      <c r="B32" s="706"/>
      <c r="C32" s="707"/>
      <c r="D32" s="1078" t="s">
        <v>71</v>
      </c>
      <c r="E32" s="1078"/>
      <c r="F32" s="1078"/>
      <c r="G32" s="1078"/>
      <c r="H32" s="1078"/>
      <c r="I32" s="1078"/>
      <c r="J32" s="1078"/>
      <c r="K32" s="1078"/>
      <c r="L32" s="1078"/>
      <c r="M32" s="1079" t="s">
        <v>72</v>
      </c>
      <c r="N32" s="1080"/>
      <c r="O32" s="1080"/>
      <c r="P32" s="1080"/>
      <c r="Q32" s="1080"/>
      <c r="R32" s="1080"/>
      <c r="S32" s="1080"/>
      <c r="T32" s="1080"/>
      <c r="U32" s="125"/>
    </row>
    <row r="33" spans="2:21" s="12" customFormat="1" ht="17.649999999999999">
      <c r="B33" s="9"/>
      <c r="C33" s="1077" t="s">
        <v>60</v>
      </c>
      <c r="D33" s="1077"/>
      <c r="E33" s="1077"/>
      <c r="F33" s="698"/>
      <c r="G33" s="699" t="s">
        <v>140</v>
      </c>
      <c r="H33" s="700"/>
      <c r="I33" s="700"/>
      <c r="J33" s="700"/>
      <c r="K33" s="700"/>
      <c r="L33" s="700"/>
      <c r="M33" s="700"/>
      <c r="N33" s="701"/>
      <c r="O33" s="702"/>
      <c r="P33" s="702"/>
      <c r="Q33" s="703"/>
      <c r="R33" s="704"/>
      <c r="S33" s="705"/>
      <c r="T33" s="705"/>
      <c r="U33" s="40"/>
    </row>
    <row r="34" spans="2:21" s="15" customFormat="1" ht="11.65">
      <c r="B34" s="706"/>
      <c r="C34" s="707"/>
      <c r="D34" s="1078" t="s">
        <v>74</v>
      </c>
      <c r="E34" s="1078"/>
      <c r="F34" s="1078"/>
      <c r="G34" s="1078"/>
      <c r="H34" s="1078"/>
      <c r="I34" s="1078"/>
      <c r="J34" s="1078"/>
      <c r="K34" s="1078"/>
      <c r="L34" s="1078"/>
      <c r="M34" s="1081" t="s">
        <v>73</v>
      </c>
      <c r="N34" s="1082"/>
      <c r="O34" s="1082"/>
      <c r="P34" s="1082"/>
      <c r="Q34" s="1082"/>
      <c r="R34" s="1082"/>
      <c r="S34" s="1082"/>
      <c r="T34" s="1082"/>
      <c r="U34" s="125"/>
    </row>
    <row r="35" spans="2:21" s="12" customFormat="1" ht="3" customHeight="1">
      <c r="B35" s="9"/>
      <c r="C35" s="708"/>
      <c r="D35" s="6"/>
      <c r="E35" s="709"/>
      <c r="F35" s="709"/>
      <c r="G35" s="709"/>
      <c r="H35" s="709"/>
      <c r="I35" s="710"/>
      <c r="J35" s="711"/>
      <c r="K35" s="711"/>
      <c r="L35" s="711"/>
      <c r="M35" s="712"/>
      <c r="N35" s="695"/>
      <c r="O35" s="696"/>
      <c r="P35" s="696"/>
      <c r="Q35" s="697"/>
      <c r="R35" s="54"/>
      <c r="S35" s="60"/>
      <c r="T35" s="60"/>
      <c r="U35" s="40"/>
    </row>
    <row r="36" spans="2:21" s="12" customFormat="1" ht="13.15">
      <c r="B36" s="586"/>
      <c r="C36" s="126"/>
      <c r="D36" s="1074" t="s">
        <v>55</v>
      </c>
      <c r="E36" s="1074"/>
      <c r="F36" s="1074"/>
      <c r="G36" s="1074"/>
      <c r="H36" s="1074"/>
      <c r="I36" s="1074"/>
      <c r="J36" s="1074"/>
      <c r="K36" s="1074"/>
      <c r="L36" s="1074"/>
      <c r="M36" s="1074"/>
      <c r="N36" s="695"/>
      <c r="O36" s="696"/>
      <c r="P36" s="696"/>
      <c r="Q36" s="697"/>
      <c r="R36" s="714"/>
      <c r="S36" s="60"/>
      <c r="T36" s="60"/>
      <c r="U36" s="715"/>
    </row>
    <row r="37" spans="2:21" s="12" customFormat="1" ht="3" customHeight="1">
      <c r="B37" s="9"/>
      <c r="C37" s="9"/>
      <c r="D37" s="691"/>
      <c r="E37" s="626"/>
      <c r="F37" s="692"/>
      <c r="G37" s="693"/>
      <c r="H37" s="694"/>
      <c r="I37" s="116"/>
      <c r="J37" s="117"/>
      <c r="K37" s="108"/>
      <c r="L37" s="694"/>
      <c r="M37" s="119"/>
      <c r="N37" s="695"/>
      <c r="O37" s="696"/>
      <c r="P37" s="696"/>
      <c r="Q37" s="697"/>
      <c r="R37" s="54"/>
      <c r="S37" s="60"/>
      <c r="T37" s="60"/>
      <c r="U37" s="40"/>
    </row>
    <row r="38" spans="2:21" s="12" customFormat="1" ht="13.15">
      <c r="B38" s="9" t="s">
        <v>7</v>
      </c>
      <c r="C38" s="9" t="str">
        <f t="shared" ref="C38" si="1">IF(D38="","",IF(D38="§-AGS","§",IF(D38="€-Einlage","€",IF(D38="$-Bank","$",IF(N38=0,"x",IF(N38&lt;&gt;0,"A",""))))))</f>
        <v/>
      </c>
      <c r="D38" s="658"/>
      <c r="E38" s="659"/>
      <c r="F38" s="660"/>
      <c r="G38" s="661"/>
      <c r="H38" s="91" t="str">
        <f t="shared" ref="H38" si="2">IF(E38&gt;0,-G38*E38,"")</f>
        <v/>
      </c>
      <c r="I38" s="33" t="str">
        <f t="shared" ref="I38" si="3">IF(E38&lt;0,-E38*G38,"")</f>
        <v/>
      </c>
      <c r="J38" s="664" t="s">
        <v>26</v>
      </c>
      <c r="K38" s="108">
        <f t="shared" ref="K38" si="4">IF(F38&gt;0,1,0)</f>
        <v>0</v>
      </c>
      <c r="L38" s="665"/>
      <c r="M38" s="666"/>
      <c r="N38" s="667">
        <f>SUMIF($D$47:$D$51,D38,$G$47:$G$51)</f>
        <v>0</v>
      </c>
      <c r="O38" s="668">
        <f t="shared" ref="O38" si="5">IF(N38&lt;&gt;0,IF(E38&gt;0,E38*N38+H38+L38+M38,0),0)</f>
        <v>0</v>
      </c>
      <c r="P38" s="669"/>
      <c r="Q38" s="716" t="str">
        <f t="shared" ref="Q38" si="6">IF(AND(N38&lt;&gt;0,G38&lt;&gt;"Split"),IF(E38&gt;0,-O38/H38,IF(E38&lt;0,-O38/I38,"")),"")</f>
        <v/>
      </c>
      <c r="R38" s="54">
        <f>IF(T38=T37,R37+1,0)</f>
        <v>1</v>
      </c>
      <c r="S38" s="717"/>
      <c r="T38" s="718"/>
      <c r="U38" s="40" t="s">
        <v>7</v>
      </c>
    </row>
    <row r="39" spans="2:21" s="12" customFormat="1" ht="13.15">
      <c r="B39" s="719"/>
      <c r="C39" s="9"/>
      <c r="D39" s="658"/>
      <c r="E39" s="720"/>
      <c r="F39" s="721"/>
      <c r="G39" s="722"/>
      <c r="H39" s="723"/>
      <c r="I39" s="724"/>
      <c r="J39" s="725"/>
      <c r="K39" s="108"/>
      <c r="L39" s="726"/>
      <c r="M39" s="727"/>
      <c r="N39" s="728"/>
      <c r="O39" s="729"/>
      <c r="P39" s="729"/>
      <c r="Q39" s="730"/>
      <c r="R39" s="54"/>
      <c r="S39" s="731"/>
      <c r="T39" s="732" t="s">
        <v>63</v>
      </c>
      <c r="U39" s="733"/>
    </row>
    <row r="40" spans="2:21" s="12" customFormat="1" ht="13.15">
      <c r="B40" s="719"/>
      <c r="C40" s="9"/>
      <c r="D40" s="658"/>
      <c r="E40" s="720"/>
      <c r="F40" s="721"/>
      <c r="G40" s="722"/>
      <c r="H40" s="723"/>
      <c r="I40" s="724"/>
      <c r="J40" s="725"/>
      <c r="K40" s="108"/>
      <c r="L40" s="726"/>
      <c r="M40" s="727"/>
      <c r="N40" s="728"/>
      <c r="O40" s="729"/>
      <c r="P40" s="729"/>
      <c r="Q40" s="730"/>
      <c r="R40" s="54"/>
      <c r="S40" s="734"/>
      <c r="T40" s="732" t="s">
        <v>63</v>
      </c>
      <c r="U40" s="733"/>
    </row>
    <row r="41" spans="2:21" s="12" customFormat="1" ht="13.15">
      <c r="B41" s="735"/>
      <c r="C41" s="9"/>
      <c r="D41" s="658"/>
      <c r="E41" s="720"/>
      <c r="F41" s="721"/>
      <c r="G41" s="722"/>
      <c r="H41" s="723"/>
      <c r="I41" s="724"/>
      <c r="J41" s="725"/>
      <c r="K41" s="108"/>
      <c r="L41" s="726"/>
      <c r="M41" s="727"/>
      <c r="N41" s="728"/>
      <c r="O41" s="729"/>
      <c r="P41" s="729"/>
      <c r="Q41" s="730"/>
      <c r="R41" s="54"/>
      <c r="S41" s="734"/>
      <c r="T41" s="732" t="s">
        <v>63</v>
      </c>
      <c r="U41" s="40"/>
    </row>
    <row r="42" spans="2:21" s="12" customFormat="1" ht="12.75">
      <c r="B42" s="736" t="s">
        <v>12</v>
      </c>
      <c r="C42" s="737"/>
      <c r="D42" s="738" t="s">
        <v>40</v>
      </c>
      <c r="E42" s="1083" t="s">
        <v>56</v>
      </c>
      <c r="F42" s="1084"/>
      <c r="G42" s="1084"/>
      <c r="H42" s="1084"/>
      <c r="I42" s="1084"/>
      <c r="J42" s="1084"/>
      <c r="K42" s="739">
        <v>0</v>
      </c>
      <c r="L42" s="740"/>
      <c r="M42" s="740"/>
      <c r="N42" s="740"/>
      <c r="O42" s="741"/>
      <c r="P42" s="741"/>
      <c r="Q42" s="741"/>
      <c r="R42" s="742" t="s">
        <v>7</v>
      </c>
      <c r="S42" s="743"/>
      <c r="T42" s="743"/>
      <c r="U42" s="744" t="s">
        <v>12</v>
      </c>
    </row>
    <row r="43" spans="2:21" s="12" customFormat="1" ht="13.15">
      <c r="B43" s="586"/>
      <c r="C43" s="586"/>
      <c r="D43" s="1074" t="s">
        <v>57</v>
      </c>
      <c r="E43" s="1074"/>
      <c r="F43" s="1074"/>
      <c r="G43" s="1074"/>
      <c r="H43" s="1074"/>
      <c r="I43" s="1074"/>
      <c r="J43" s="1074"/>
      <c r="K43" s="1074"/>
      <c r="L43" s="1074"/>
      <c r="M43" s="1074"/>
      <c r="N43" s="1074"/>
      <c r="O43" s="1074"/>
      <c r="P43" s="1074"/>
      <c r="Q43" s="1074"/>
      <c r="R43" s="714"/>
      <c r="S43" s="60"/>
      <c r="T43" s="60"/>
      <c r="U43" s="715"/>
    </row>
    <row r="44" spans="2:21" s="12" customFormat="1" ht="3" customHeight="1">
      <c r="B44" s="9"/>
      <c r="C44" s="9"/>
      <c r="D44" s="691"/>
      <c r="E44" s="626"/>
      <c r="F44" s="692"/>
      <c r="G44" s="693"/>
      <c r="H44" s="694"/>
      <c r="I44" s="116"/>
      <c r="J44" s="117"/>
      <c r="K44" s="108"/>
      <c r="L44" s="694"/>
      <c r="M44" s="119"/>
      <c r="N44" s="695"/>
      <c r="O44" s="696"/>
      <c r="P44" s="696"/>
      <c r="Q44" s="697"/>
      <c r="R44" s="54"/>
      <c r="S44" s="60"/>
      <c r="T44" s="60"/>
      <c r="U44" s="40"/>
    </row>
    <row r="45" spans="2:21" s="15" customFormat="1" ht="12" thickBot="1">
      <c r="B45" s="706"/>
      <c r="C45" s="706"/>
      <c r="D45" s="1086" t="s">
        <v>58</v>
      </c>
      <c r="E45" s="1086"/>
      <c r="F45" s="1086"/>
      <c r="G45" s="1086"/>
      <c r="H45" s="1086"/>
      <c r="I45" s="1086"/>
      <c r="J45" s="1086"/>
      <c r="K45" s="1086"/>
      <c r="L45" s="1086"/>
      <c r="M45" s="1086"/>
      <c r="N45" s="1086"/>
      <c r="O45" s="1086"/>
      <c r="P45" s="1086"/>
      <c r="Q45" s="1086"/>
      <c r="R45" s="1086"/>
      <c r="S45" s="1086"/>
      <c r="T45" s="745"/>
      <c r="U45" s="125"/>
    </row>
    <row r="46" spans="2:21" s="12" customFormat="1" ht="13.5" thickBot="1">
      <c r="B46" s="746"/>
      <c r="C46" s="747"/>
      <c r="D46" s="748"/>
      <c r="E46" s="749"/>
      <c r="F46" s="750"/>
      <c r="G46" s="751"/>
      <c r="H46" s="752"/>
      <c r="I46" s="753"/>
      <c r="J46" s="754"/>
      <c r="K46" s="755"/>
      <c r="L46" s="752"/>
      <c r="M46" s="756"/>
      <c r="N46" s="757"/>
      <c r="O46" s="758"/>
      <c r="P46" s="759"/>
      <c r="Q46" s="760"/>
      <c r="R46" s="761"/>
      <c r="S46" s="762"/>
      <c r="T46" s="762"/>
      <c r="U46" s="763"/>
    </row>
    <row r="47" spans="2:21" s="12" customFormat="1" ht="13.15">
      <c r="B47" s="719"/>
      <c r="C47" s="9"/>
      <c r="D47" s="764"/>
      <c r="E47" s="765"/>
      <c r="F47" s="766"/>
      <c r="G47" s="767"/>
      <c r="H47" s="768"/>
      <c r="I47" s="769"/>
      <c r="J47" s="770"/>
      <c r="K47" s="108"/>
      <c r="L47" s="771"/>
      <c r="M47" s="772"/>
      <c r="N47" s="773"/>
      <c r="O47" s="729"/>
      <c r="P47" s="729"/>
      <c r="Q47" s="730"/>
      <c r="R47" s="54"/>
      <c r="S47" s="734"/>
      <c r="T47" s="732" t="s">
        <v>63</v>
      </c>
      <c r="U47" s="733"/>
    </row>
    <row r="48" spans="2:21" s="12" customFormat="1" ht="13.15">
      <c r="B48" s="719"/>
      <c r="C48" s="9"/>
      <c r="D48" s="658"/>
      <c r="E48" s="720"/>
      <c r="F48" s="721"/>
      <c r="G48" s="722"/>
      <c r="H48" s="723"/>
      <c r="I48" s="724"/>
      <c r="J48" s="725"/>
      <c r="K48" s="108"/>
      <c r="L48" s="726"/>
      <c r="M48" s="727"/>
      <c r="N48" s="728"/>
      <c r="O48" s="729"/>
      <c r="P48" s="729"/>
      <c r="Q48" s="730"/>
      <c r="R48" s="54"/>
      <c r="S48" s="734"/>
      <c r="T48" s="732" t="s">
        <v>63</v>
      </c>
      <c r="U48" s="733"/>
    </row>
    <row r="49" spans="2:21" s="12" customFormat="1" ht="13.15">
      <c r="B49" s="735"/>
      <c r="C49" s="9"/>
      <c r="D49" s="658"/>
      <c r="E49" s="720"/>
      <c r="F49" s="721"/>
      <c r="G49" s="722"/>
      <c r="H49" s="723"/>
      <c r="I49" s="724"/>
      <c r="J49" s="725"/>
      <c r="K49" s="108"/>
      <c r="L49" s="726"/>
      <c r="M49" s="727"/>
      <c r="N49" s="728"/>
      <c r="O49" s="729"/>
      <c r="P49" s="729"/>
      <c r="Q49" s="730"/>
      <c r="R49" s="54"/>
      <c r="S49" s="734"/>
      <c r="T49" s="732" t="s">
        <v>63</v>
      </c>
      <c r="U49" s="40"/>
    </row>
    <row r="50" spans="2:21" s="12" customFormat="1" ht="12.75">
      <c r="B50" s="736" t="s">
        <v>12</v>
      </c>
      <c r="C50" s="737"/>
      <c r="D50" s="738" t="s">
        <v>40</v>
      </c>
      <c r="E50" s="1083" t="s">
        <v>56</v>
      </c>
      <c r="F50" s="1084"/>
      <c r="G50" s="1084"/>
      <c r="H50" s="1084"/>
      <c r="I50" s="1084"/>
      <c r="J50" s="1084"/>
      <c r="K50" s="739">
        <v>0</v>
      </c>
      <c r="L50" s="740"/>
      <c r="M50" s="740"/>
      <c r="N50" s="740"/>
      <c r="O50" s="741"/>
      <c r="P50" s="741"/>
      <c r="Q50" s="741"/>
      <c r="R50" s="742" t="s">
        <v>7</v>
      </c>
      <c r="S50" s="743"/>
      <c r="T50" s="743"/>
      <c r="U50" s="744" t="s">
        <v>12</v>
      </c>
    </row>
    <row r="51" spans="2:21" s="15" customFormat="1" ht="11.65">
      <c r="B51" s="706"/>
      <c r="C51" s="706"/>
      <c r="D51" s="1080" t="s">
        <v>77</v>
      </c>
      <c r="E51" s="1080"/>
      <c r="F51" s="1080"/>
      <c r="G51" s="1080"/>
      <c r="H51" s="1080"/>
      <c r="I51" s="1080"/>
      <c r="J51" s="1080"/>
      <c r="K51" s="1080"/>
      <c r="L51" s="1080"/>
      <c r="M51" s="1080"/>
      <c r="N51" s="1080"/>
      <c r="O51" s="1080"/>
      <c r="P51" s="1080"/>
      <c r="Q51" s="1080"/>
      <c r="R51" s="774"/>
      <c r="S51" s="745"/>
      <c r="T51" s="745"/>
      <c r="U51" s="125"/>
    </row>
    <row r="52" spans="2:21" s="32" customFormat="1" ht="3" customHeight="1" thickBot="1">
      <c r="B52" s="775"/>
      <c r="C52" s="775" t="s">
        <v>7</v>
      </c>
      <c r="D52" s="47" t="s">
        <v>7</v>
      </c>
      <c r="E52" s="51"/>
      <c r="F52" s="48">
        <f>COUNTBLANK(B15:B51)+G52</f>
        <v>34</v>
      </c>
      <c r="G52" s="776">
        <f>IF(ISERROR(T52),1,0)</f>
        <v>0</v>
      </c>
      <c r="H52" s="92"/>
      <c r="I52" s="52"/>
      <c r="J52" s="112">
        <f>SUM(K15:K51)</f>
        <v>6</v>
      </c>
      <c r="K52" s="109">
        <f>+L52-J52</f>
        <v>0</v>
      </c>
      <c r="L52" s="113">
        <f>SUBTOTAL(9,K15:K51)</f>
        <v>6</v>
      </c>
      <c r="M52" s="53"/>
      <c r="N52" s="66"/>
      <c r="O52" s="47"/>
      <c r="P52" s="47"/>
      <c r="Q52" s="47"/>
      <c r="R52" s="114" t="s">
        <v>7</v>
      </c>
      <c r="S52" s="49">
        <f>SUM(S16:S51)</f>
        <v>0</v>
      </c>
      <c r="T52" s="49">
        <f>SUM(T16:T51)</f>
        <v>0</v>
      </c>
      <c r="U52" s="47"/>
    </row>
    <row r="53" spans="2:21" s="32" customFormat="1" ht="3" customHeight="1">
      <c r="B53" s="9"/>
      <c r="C53" s="9"/>
      <c r="E53" s="130"/>
      <c r="F53" s="42"/>
      <c r="G53" s="777"/>
      <c r="H53" s="93"/>
      <c r="I53" s="131"/>
      <c r="J53" s="132"/>
      <c r="K53" s="108"/>
      <c r="L53" s="133"/>
      <c r="M53" s="134"/>
      <c r="N53" s="135"/>
      <c r="R53" s="102"/>
      <c r="S53" s="43"/>
      <c r="T53" s="43"/>
    </row>
    <row r="54" spans="2:21" s="6" customFormat="1" ht="22.25" customHeight="1">
      <c r="B54" s="1045" t="s">
        <v>0</v>
      </c>
      <c r="C54" s="1045"/>
      <c r="D54" s="1045"/>
      <c r="E54" s="1087" t="s">
        <v>141</v>
      </c>
      <c r="F54" s="1088"/>
      <c r="G54" s="778" t="s">
        <v>138</v>
      </c>
      <c r="H54" s="1089" t="s">
        <v>142</v>
      </c>
      <c r="I54" s="1090"/>
      <c r="J54" s="1090"/>
      <c r="K54" s="4"/>
      <c r="L54" s="4"/>
      <c r="M54" s="5"/>
      <c r="N54" s="80"/>
      <c r="O54" s="81"/>
      <c r="P54" s="81"/>
      <c r="Q54" s="7"/>
      <c r="R54" s="102"/>
      <c r="U54" s="31"/>
    </row>
    <row r="55" spans="2:21" s="13" customFormat="1" ht="3" customHeight="1">
      <c r="B55" s="9"/>
      <c r="C55" s="9" t="s">
        <v>29</v>
      </c>
      <c r="D55" s="101" t="s">
        <v>7</v>
      </c>
      <c r="F55" s="779"/>
      <c r="G55" s="780"/>
      <c r="L55" s="77"/>
      <c r="M55" s="77"/>
      <c r="N55" s="67" t="s">
        <v>37</v>
      </c>
      <c r="O55" s="67" t="s">
        <v>37</v>
      </c>
      <c r="P55" s="67" t="s">
        <v>37</v>
      </c>
      <c r="Q55" s="781"/>
      <c r="R55" s="102" t="s">
        <v>7</v>
      </c>
      <c r="S55" s="782"/>
      <c r="T55" s="783"/>
      <c r="U55" s="32"/>
    </row>
    <row r="56" spans="2:21" s="15" customFormat="1" ht="15">
      <c r="B56" s="9"/>
      <c r="C56" s="9" t="s">
        <v>7</v>
      </c>
      <c r="D56" s="713"/>
      <c r="E56" s="784" t="s">
        <v>32</v>
      </c>
      <c r="F56" s="785" t="s">
        <v>11</v>
      </c>
      <c r="G56" s="786" t="s">
        <v>4</v>
      </c>
      <c r="H56" s="787" t="s">
        <v>16</v>
      </c>
      <c r="I56" s="788" t="s">
        <v>17</v>
      </c>
      <c r="J56" s="789" t="s">
        <v>10</v>
      </c>
      <c r="K56" s="790"/>
      <c r="L56" s="791" t="s">
        <v>27</v>
      </c>
      <c r="M56" s="791" t="s">
        <v>6</v>
      </c>
      <c r="N56" s="792" t="s">
        <v>16</v>
      </c>
      <c r="O56" s="793" t="s">
        <v>17</v>
      </c>
      <c r="P56" s="793" t="s">
        <v>22</v>
      </c>
      <c r="Q56" s="794" t="s">
        <v>21</v>
      </c>
      <c r="R56" s="124"/>
      <c r="S56" s="795" t="s">
        <v>31</v>
      </c>
      <c r="T56" s="784" t="s">
        <v>22</v>
      </c>
      <c r="U56" s="14"/>
    </row>
    <row r="57" spans="2:21" s="12" customFormat="1" ht="15.4" customHeight="1">
      <c r="B57" s="9"/>
      <c r="C57" s="9" t="str">
        <f>IF(D57="","",IF(G57=0,"x",IF(G57&lt;&gt;0,"A","")))</f>
        <v>A</v>
      </c>
      <c r="D57" s="658" t="s">
        <v>48</v>
      </c>
      <c r="E57" s="796">
        <v>10</v>
      </c>
      <c r="F57" s="797">
        <v>1500</v>
      </c>
      <c r="G57" s="798">
        <v>150</v>
      </c>
      <c r="H57" s="799">
        <v>-3950.4</v>
      </c>
      <c r="I57" s="799">
        <v>3703.5</v>
      </c>
      <c r="J57" s="799">
        <v>246.8</v>
      </c>
      <c r="K57" s="790"/>
      <c r="L57" s="799">
        <v>-27</v>
      </c>
      <c r="M57" s="799">
        <v>-999.95</v>
      </c>
      <c r="N57" s="800">
        <v>3950.4</v>
      </c>
      <c r="O57" s="800">
        <v>3703.5</v>
      </c>
      <c r="P57" s="800">
        <v>10595.05</v>
      </c>
      <c r="Q57" s="801">
        <f>+T57/(-H57-I57)</f>
        <v>1.915552855407046</v>
      </c>
      <c r="R57" s="124"/>
      <c r="S57" s="802" t="s">
        <v>48</v>
      </c>
      <c r="T57" s="799">
        <f>+H57+I57+J57+L57+M57+F57</f>
        <v>472.94999999999982</v>
      </c>
      <c r="U57" s="40"/>
    </row>
    <row r="58" spans="2:21" s="99" customFormat="1" ht="15.4" customHeight="1">
      <c r="B58" s="9"/>
      <c r="C58" s="9" t="str">
        <f t="shared" ref="C58" si="7">IF(D58="","",IF(G58=0,"x",IF(G58&lt;&gt;0,"A","")))</f>
        <v>A</v>
      </c>
      <c r="D58" s="1091" t="s">
        <v>65</v>
      </c>
      <c r="E58" s="1091"/>
      <c r="F58" s="1091"/>
      <c r="G58" s="1065" t="s">
        <v>75</v>
      </c>
      <c r="H58" s="1065"/>
      <c r="I58" s="1065"/>
      <c r="J58" s="1065"/>
      <c r="K58" s="1065"/>
      <c r="L58" s="1065"/>
      <c r="M58" s="1065"/>
      <c r="N58" s="1065"/>
      <c r="O58" s="1065"/>
      <c r="P58" s="1065"/>
      <c r="Q58" s="1065"/>
      <c r="R58" s="1065"/>
      <c r="S58" s="1065"/>
      <c r="T58" s="803"/>
      <c r="U58" s="40"/>
    </row>
    <row r="59" spans="2:21" s="31" customFormat="1" ht="15" customHeight="1">
      <c r="B59" s="9"/>
      <c r="C59" s="1077" t="s">
        <v>60</v>
      </c>
      <c r="D59" s="1077"/>
      <c r="E59" s="1077"/>
      <c r="F59" s="698"/>
      <c r="G59" s="699" t="s">
        <v>140</v>
      </c>
      <c r="H59" s="700"/>
      <c r="I59" s="700"/>
      <c r="J59" s="700"/>
      <c r="K59" s="700"/>
      <c r="L59" s="700"/>
      <c r="M59" s="700"/>
      <c r="N59" s="701"/>
      <c r="O59" s="702"/>
      <c r="P59" s="702"/>
      <c r="Q59" s="703"/>
      <c r="R59" s="704"/>
      <c r="S59" s="705"/>
      <c r="T59" s="705"/>
      <c r="U59" s="40"/>
    </row>
    <row r="60" spans="2:21" s="14" customFormat="1" ht="11.65">
      <c r="B60" s="706"/>
      <c r="C60" s="707"/>
      <c r="D60" s="1078" t="s">
        <v>74</v>
      </c>
      <c r="E60" s="1078"/>
      <c r="F60" s="1078"/>
      <c r="G60" s="1078"/>
      <c r="H60" s="1078"/>
      <c r="I60" s="1078"/>
      <c r="J60" s="700"/>
      <c r="K60" s="700"/>
      <c r="L60" s="700"/>
      <c r="M60" s="1081" t="s">
        <v>73</v>
      </c>
      <c r="N60" s="1082"/>
      <c r="O60" s="1082"/>
      <c r="P60" s="1082"/>
      <c r="Q60" s="1082"/>
      <c r="R60" s="1082"/>
      <c r="S60" s="1082"/>
      <c r="T60" s="1082"/>
      <c r="U60" s="125"/>
    </row>
    <row r="61" spans="2:21" s="12" customFormat="1" ht="17.649999999999999">
      <c r="B61" s="9"/>
      <c r="C61" s="1077" t="s">
        <v>59</v>
      </c>
      <c r="D61" s="1077"/>
      <c r="E61" s="1077"/>
      <c r="F61" s="1077"/>
      <c r="G61" s="699" t="s">
        <v>140</v>
      </c>
      <c r="I61" s="700"/>
      <c r="J61" s="700"/>
      <c r="K61" s="700"/>
      <c r="L61" s="700"/>
      <c r="M61" s="700"/>
      <c r="N61" s="701"/>
      <c r="O61" s="702"/>
      <c r="P61" s="702"/>
      <c r="Q61" s="703"/>
      <c r="R61" s="704"/>
      <c r="S61" s="705"/>
      <c r="T61" s="705"/>
      <c r="U61" s="40"/>
    </row>
    <row r="62" spans="2:21" s="15" customFormat="1" ht="11.65">
      <c r="B62" s="706"/>
      <c r="C62" s="707"/>
      <c r="D62" s="1078" t="s">
        <v>64</v>
      </c>
      <c r="E62" s="1078"/>
      <c r="F62" s="1078"/>
      <c r="G62" s="1078"/>
      <c r="H62" s="1078"/>
      <c r="I62" s="1078"/>
      <c r="J62" s="1078"/>
      <c r="K62" s="1078"/>
      <c r="L62" s="1078"/>
      <c r="M62" s="1079" t="s">
        <v>72</v>
      </c>
      <c r="N62" s="1080"/>
      <c r="O62" s="1080"/>
      <c r="P62" s="1080"/>
      <c r="Q62" s="1080"/>
      <c r="R62" s="1080"/>
      <c r="S62" s="1080"/>
      <c r="T62" s="1080"/>
      <c r="U62" s="125"/>
    </row>
    <row r="63" spans="2:21" s="31" customFormat="1" ht="3" customHeight="1">
      <c r="B63" s="9"/>
      <c r="C63" s="9"/>
      <c r="D63" s="804"/>
      <c r="E63" s="805"/>
      <c r="F63" s="806"/>
      <c r="G63" s="807"/>
      <c r="H63" s="808"/>
      <c r="I63" s="808"/>
      <c r="J63" s="808"/>
      <c r="K63" s="110"/>
      <c r="L63" s="808"/>
      <c r="M63" s="808"/>
      <c r="N63" s="809"/>
      <c r="O63" s="809"/>
      <c r="P63" s="809"/>
      <c r="Q63" s="810"/>
      <c r="R63" s="102"/>
      <c r="S63" s="811"/>
      <c r="T63" s="808"/>
      <c r="U63" s="40"/>
    </row>
    <row r="64" spans="2:21" s="12" customFormat="1" ht="17.25" customHeight="1">
      <c r="B64" s="9"/>
      <c r="C64" s="708"/>
      <c r="D64" s="1074" t="s">
        <v>143</v>
      </c>
      <c r="E64" s="1074"/>
      <c r="F64" s="1074"/>
      <c r="G64" s="1074"/>
      <c r="H64" s="1074"/>
      <c r="I64" s="1074"/>
      <c r="J64" s="1074"/>
      <c r="K64" s="1074"/>
      <c r="L64" s="1074"/>
      <c r="M64" s="1074"/>
      <c r="N64" s="1074"/>
      <c r="O64" s="1074"/>
      <c r="P64" s="1074"/>
      <c r="Q64" s="1074"/>
      <c r="R64" s="54"/>
      <c r="S64" s="60"/>
      <c r="T64" s="60"/>
      <c r="U64" s="40"/>
    </row>
    <row r="65" spans="2:21" s="31" customFormat="1" ht="3" customHeight="1">
      <c r="B65" s="9"/>
      <c r="C65" s="9"/>
      <c r="D65" s="804"/>
      <c r="E65" s="805"/>
      <c r="F65" s="806"/>
      <c r="G65" s="807"/>
      <c r="H65" s="808"/>
      <c r="I65" s="808"/>
      <c r="J65" s="808"/>
      <c r="K65" s="110"/>
      <c r="L65" s="808"/>
      <c r="M65" s="808"/>
      <c r="N65" s="809"/>
      <c r="O65" s="809"/>
      <c r="P65" s="809"/>
      <c r="Q65" s="810"/>
      <c r="R65" s="102"/>
      <c r="S65" s="811"/>
      <c r="T65" s="808"/>
      <c r="U65" s="40"/>
    </row>
    <row r="66" spans="2:21" s="31" customFormat="1" ht="15" customHeight="1">
      <c r="B66" s="9"/>
      <c r="C66" s="9"/>
      <c r="D66" s="658"/>
      <c r="E66" s="812"/>
      <c r="F66" s="813"/>
      <c r="G66" s="798"/>
      <c r="H66" s="814"/>
      <c r="I66" s="815"/>
      <c r="J66" s="816"/>
      <c r="K66" s="110"/>
      <c r="L66" s="817"/>
      <c r="M66" s="818"/>
      <c r="N66" s="588"/>
      <c r="O66" s="588"/>
      <c r="P66" s="588"/>
      <c r="Q66" s="670"/>
      <c r="R66" s="102"/>
      <c r="S66" s="819"/>
      <c r="T66" s="820"/>
      <c r="U66" s="40"/>
    </row>
    <row r="67" spans="2:21" s="31" customFormat="1" ht="15" customHeight="1">
      <c r="B67" s="719"/>
      <c r="C67" s="9"/>
      <c r="D67" s="658"/>
      <c r="E67" s="812"/>
      <c r="F67" s="813"/>
      <c r="G67" s="798"/>
      <c r="H67" s="814"/>
      <c r="I67" s="815"/>
      <c r="J67" s="816"/>
      <c r="K67" s="110"/>
      <c r="L67" s="817"/>
      <c r="M67" s="818"/>
      <c r="N67" s="588"/>
      <c r="O67" s="588"/>
      <c r="P67" s="588"/>
      <c r="Q67" s="670"/>
      <c r="R67" s="102"/>
      <c r="S67" s="819"/>
      <c r="T67" s="821" t="s">
        <v>63</v>
      </c>
      <c r="U67" s="733"/>
    </row>
    <row r="68" spans="2:21" s="31" customFormat="1" ht="15" customHeight="1">
      <c r="B68" s="9" t="s">
        <v>7</v>
      </c>
      <c r="C68" s="9" t="str">
        <f t="shared" ref="C68" si="8">IF(D68="","",IF(G68=0,"x",IF(G68&lt;&gt;0,"A","")))</f>
        <v/>
      </c>
      <c r="D68" s="658"/>
      <c r="E68" s="812"/>
      <c r="F68" s="813"/>
      <c r="G68" s="798"/>
      <c r="H68" s="814"/>
      <c r="I68" s="815"/>
      <c r="J68" s="816"/>
      <c r="K68" s="110"/>
      <c r="L68" s="817"/>
      <c r="M68" s="818"/>
      <c r="N68" s="588"/>
      <c r="O68" s="588"/>
      <c r="P68" s="588"/>
      <c r="Q68" s="670"/>
      <c r="R68" s="102"/>
      <c r="S68" s="819"/>
      <c r="T68" s="821" t="s">
        <v>63</v>
      </c>
      <c r="U68" s="40" t="s">
        <v>7</v>
      </c>
    </row>
    <row r="69" spans="2:21" s="31" customFormat="1" ht="3" customHeight="1">
      <c r="B69" s="1092" t="s">
        <v>12</v>
      </c>
      <c r="C69" s="1093"/>
      <c r="D69" s="1094" t="s">
        <v>40</v>
      </c>
      <c r="E69" s="822"/>
      <c r="F69" s="823"/>
      <c r="G69" s="824"/>
      <c r="H69" s="825"/>
      <c r="I69" s="826"/>
      <c r="J69" s="827"/>
      <c r="K69" s="828"/>
      <c r="L69" s="829"/>
      <c r="M69" s="830"/>
      <c r="N69" s="831"/>
      <c r="O69" s="832"/>
      <c r="P69" s="832"/>
      <c r="Q69" s="832"/>
      <c r="R69" s="833"/>
      <c r="S69" s="834"/>
      <c r="T69" s="834"/>
      <c r="U69" s="1096" t="s">
        <v>12</v>
      </c>
    </row>
    <row r="70" spans="2:21" s="31" customFormat="1" ht="15" customHeight="1">
      <c r="B70" s="1092"/>
      <c r="C70" s="1093"/>
      <c r="D70" s="1095"/>
      <c r="E70" s="1097" t="s">
        <v>56</v>
      </c>
      <c r="F70" s="1098"/>
      <c r="G70" s="1098"/>
      <c r="H70" s="1098"/>
      <c r="I70" s="1098"/>
      <c r="J70" s="1098"/>
      <c r="K70" s="1098"/>
      <c r="L70" s="1098"/>
      <c r="M70" s="1098"/>
      <c r="N70" s="1098"/>
      <c r="O70" s="1098"/>
      <c r="P70" s="1098"/>
      <c r="Q70" s="1098"/>
      <c r="R70" s="833"/>
      <c r="S70" s="835"/>
      <c r="T70" s="835"/>
      <c r="U70" s="1096"/>
    </row>
    <row r="71" spans="2:21" s="12" customFormat="1" ht="13.15">
      <c r="B71" s="9"/>
      <c r="C71" s="9"/>
      <c r="D71" s="1074" t="s">
        <v>57</v>
      </c>
      <c r="E71" s="1074"/>
      <c r="F71" s="1074"/>
      <c r="G71" s="1074"/>
      <c r="H71" s="1074"/>
      <c r="I71" s="1074"/>
      <c r="J71" s="1074"/>
      <c r="K71" s="1074"/>
      <c r="L71" s="1074"/>
      <c r="M71" s="1074"/>
      <c r="N71" s="1074"/>
      <c r="O71" s="1074"/>
      <c r="P71" s="1074"/>
      <c r="Q71" s="1074"/>
      <c r="R71" s="54"/>
      <c r="S71" s="60"/>
      <c r="T71" s="60"/>
      <c r="U71" s="40"/>
    </row>
    <row r="72" spans="2:21" s="12" customFormat="1" ht="3" customHeight="1">
      <c r="B72" s="9"/>
      <c r="C72" s="9"/>
      <c r="D72" s="691"/>
      <c r="E72" s="626"/>
      <c r="F72" s="692"/>
      <c r="G72" s="693"/>
      <c r="H72" s="694"/>
      <c r="I72" s="116"/>
      <c r="J72" s="117"/>
      <c r="K72" s="108"/>
      <c r="L72" s="694"/>
      <c r="M72" s="119"/>
      <c r="N72" s="695"/>
      <c r="O72" s="696"/>
      <c r="P72" s="696"/>
      <c r="Q72" s="697"/>
      <c r="R72" s="54"/>
      <c r="S72" s="60"/>
      <c r="T72" s="60"/>
      <c r="U72" s="40"/>
    </row>
    <row r="73" spans="2:21" s="839" customFormat="1" ht="12" thickBot="1">
      <c r="B73" s="836"/>
      <c r="C73" s="836"/>
      <c r="D73" s="1099" t="s">
        <v>58</v>
      </c>
      <c r="E73" s="1099"/>
      <c r="F73" s="1099"/>
      <c r="G73" s="1099"/>
      <c r="H73" s="1099"/>
      <c r="I73" s="1099"/>
      <c r="J73" s="1099"/>
      <c r="K73" s="1099"/>
      <c r="L73" s="1099"/>
      <c r="M73" s="1099"/>
      <c r="N73" s="1099"/>
      <c r="O73" s="1099"/>
      <c r="P73" s="1099"/>
      <c r="Q73" s="1099"/>
      <c r="R73" s="1099"/>
      <c r="S73" s="1099"/>
      <c r="T73" s="837"/>
      <c r="U73" s="838"/>
    </row>
    <row r="74" spans="2:21" s="31" customFormat="1" ht="15" customHeight="1" thickBot="1">
      <c r="B74" s="746"/>
      <c r="C74" s="747"/>
      <c r="D74" s="748"/>
      <c r="E74" s="840"/>
      <c r="F74" s="841"/>
      <c r="G74" s="842"/>
      <c r="H74" s="843"/>
      <c r="I74" s="844"/>
      <c r="J74" s="845"/>
      <c r="K74" s="846"/>
      <c r="L74" s="847"/>
      <c r="M74" s="848"/>
      <c r="N74" s="849"/>
      <c r="O74" s="849"/>
      <c r="P74" s="849"/>
      <c r="Q74" s="760"/>
      <c r="R74" s="850"/>
      <c r="S74" s="851"/>
      <c r="T74" s="852"/>
      <c r="U74" s="763"/>
    </row>
    <row r="75" spans="2:21" s="31" customFormat="1" ht="15" customHeight="1">
      <c r="B75" s="719"/>
      <c r="C75" s="9"/>
      <c r="D75" s="764"/>
      <c r="E75" s="853"/>
      <c r="F75" s="854"/>
      <c r="G75" s="855"/>
      <c r="H75" s="856"/>
      <c r="I75" s="857"/>
      <c r="J75" s="858"/>
      <c r="K75" s="110"/>
      <c r="L75" s="859"/>
      <c r="M75" s="860"/>
      <c r="N75" s="588"/>
      <c r="O75" s="588"/>
      <c r="P75" s="588"/>
      <c r="Q75" s="861"/>
      <c r="R75" s="102"/>
      <c r="S75" s="862"/>
      <c r="T75" s="821" t="s">
        <v>63</v>
      </c>
      <c r="U75" s="733"/>
    </row>
    <row r="76" spans="2:21" s="31" customFormat="1" ht="15" customHeight="1">
      <c r="B76" s="9" t="s">
        <v>7</v>
      </c>
      <c r="C76" s="9" t="str">
        <f t="shared" ref="C76" si="9">IF(D76="","",IF(G76=0,"x",IF(G76&lt;&gt;0,"A","")))</f>
        <v/>
      </c>
      <c r="D76" s="658"/>
      <c r="E76" s="812"/>
      <c r="F76" s="813"/>
      <c r="G76" s="798"/>
      <c r="H76" s="814"/>
      <c r="I76" s="815"/>
      <c r="J76" s="816"/>
      <c r="K76" s="110"/>
      <c r="L76" s="817"/>
      <c r="M76" s="818"/>
      <c r="N76" s="588"/>
      <c r="O76" s="588"/>
      <c r="P76" s="588"/>
      <c r="Q76" s="670"/>
      <c r="R76" s="102"/>
      <c r="S76" s="819"/>
      <c r="T76" s="821" t="s">
        <v>63</v>
      </c>
      <c r="U76" s="40" t="s">
        <v>7</v>
      </c>
    </row>
    <row r="77" spans="2:21" s="31" customFormat="1" ht="3" customHeight="1">
      <c r="B77" s="1092" t="s">
        <v>12</v>
      </c>
      <c r="C77" s="1093"/>
      <c r="D77" s="1094" t="s">
        <v>40</v>
      </c>
      <c r="E77" s="822"/>
      <c r="F77" s="823"/>
      <c r="G77" s="824"/>
      <c r="H77" s="825"/>
      <c r="I77" s="826"/>
      <c r="J77" s="827"/>
      <c r="K77" s="828"/>
      <c r="L77" s="829"/>
      <c r="M77" s="830"/>
      <c r="N77" s="831"/>
      <c r="O77" s="832"/>
      <c r="P77" s="832"/>
      <c r="Q77" s="832"/>
      <c r="R77" s="833"/>
      <c r="S77" s="834"/>
      <c r="T77" s="834"/>
      <c r="U77" s="1096" t="s">
        <v>12</v>
      </c>
    </row>
    <row r="78" spans="2:21" s="31" customFormat="1" ht="15" customHeight="1">
      <c r="B78" s="1092"/>
      <c r="C78" s="1093"/>
      <c r="D78" s="1095"/>
      <c r="E78" s="1097" t="s">
        <v>56</v>
      </c>
      <c r="F78" s="1098"/>
      <c r="G78" s="1098"/>
      <c r="H78" s="1098"/>
      <c r="I78" s="1098"/>
      <c r="J78" s="1098"/>
      <c r="K78" s="1098"/>
      <c r="L78" s="1098"/>
      <c r="M78" s="1098"/>
      <c r="N78" s="1098"/>
      <c r="O78" s="1098"/>
      <c r="P78" s="1098"/>
      <c r="Q78" s="1098"/>
      <c r="R78" s="833"/>
      <c r="S78" s="835"/>
      <c r="T78" s="835"/>
      <c r="U78" s="1096"/>
    </row>
    <row r="79" spans="2:21" s="15" customFormat="1" ht="11.65">
      <c r="B79" s="706"/>
      <c r="C79" s="706"/>
      <c r="D79" s="1080" t="s">
        <v>76</v>
      </c>
      <c r="E79" s="1080"/>
      <c r="F79" s="1080"/>
      <c r="G79" s="1080"/>
      <c r="H79" s="1080"/>
      <c r="I79" s="1080"/>
      <c r="J79" s="1080"/>
      <c r="K79" s="1080"/>
      <c r="L79" s="1080"/>
      <c r="M79" s="1080"/>
      <c r="N79" s="1080"/>
      <c r="O79" s="1080"/>
      <c r="P79" s="1080"/>
      <c r="Q79" s="863"/>
      <c r="R79" s="774"/>
      <c r="S79" s="745"/>
      <c r="T79" s="745"/>
      <c r="U79" s="125"/>
    </row>
    <row r="80" spans="2:21" s="32" customFormat="1" ht="3" customHeight="1" thickBot="1">
      <c r="B80" s="775"/>
      <c r="C80" s="775" t="s">
        <v>7</v>
      </c>
      <c r="D80" s="47" t="s">
        <v>7</v>
      </c>
      <c r="E80" s="51"/>
      <c r="F80" s="48">
        <f>COUNTBLANK(B22:B58)+G80</f>
        <v>33</v>
      </c>
      <c r="G80" s="776">
        <f>IF(ISERROR(T80),1,0)</f>
        <v>0</v>
      </c>
      <c r="H80" s="92"/>
      <c r="I80" s="52"/>
      <c r="J80" s="112">
        <f>SUM(K22:K58)</f>
        <v>1</v>
      </c>
      <c r="K80" s="109">
        <f>+L80-J80</f>
        <v>0</v>
      </c>
      <c r="L80" s="113">
        <f>SUBTOTAL(9,K22:K58)</f>
        <v>1</v>
      </c>
      <c r="M80" s="53"/>
      <c r="N80" s="66"/>
      <c r="O80" s="47"/>
      <c r="P80" s="47"/>
      <c r="Q80" s="47"/>
      <c r="R80" s="114" t="s">
        <v>7</v>
      </c>
      <c r="S80" s="49">
        <f>SUM(S23:S58)</f>
        <v>0</v>
      </c>
      <c r="T80" s="49">
        <f>SUM(T23:T58)</f>
        <v>472.94999999999982</v>
      </c>
      <c r="U80" s="47"/>
    </row>
    <row r="81" spans="2:21" s="6" customFormat="1" ht="22.25" customHeight="1">
      <c r="B81" s="1106" t="s">
        <v>5</v>
      </c>
      <c r="C81" s="1106"/>
      <c r="D81" s="1106"/>
      <c r="E81" s="1107" t="s">
        <v>99</v>
      </c>
      <c r="F81" s="1107"/>
      <c r="G81" s="1107"/>
      <c r="H81" s="1107"/>
      <c r="I81" s="1107"/>
      <c r="J81" s="1107"/>
      <c r="K81" s="1107"/>
      <c r="L81" s="1107"/>
      <c r="M81" s="1107"/>
      <c r="N81" s="1107"/>
      <c r="O81" s="1107"/>
      <c r="P81" s="1107"/>
      <c r="Q81" s="1107"/>
      <c r="R81" s="1107"/>
      <c r="S81" s="1107"/>
      <c r="T81" s="1107"/>
      <c r="U81" s="1107"/>
    </row>
    <row r="82" spans="2:21" s="15" customFormat="1" ht="15" customHeight="1">
      <c r="B82" s="9"/>
      <c r="C82" s="9" t="s">
        <v>7</v>
      </c>
      <c r="D82" s="8" t="s">
        <v>5</v>
      </c>
      <c r="E82" s="226" t="s">
        <v>3</v>
      </c>
      <c r="F82" s="864" t="s">
        <v>90</v>
      </c>
      <c r="G82" s="865" t="s">
        <v>8</v>
      </c>
      <c r="H82" s="866" t="s">
        <v>156</v>
      </c>
      <c r="I82" s="1113" t="s">
        <v>172</v>
      </c>
      <c r="J82" s="1113"/>
      <c r="K82" s="1113"/>
      <c r="L82" s="1112" t="s">
        <v>169</v>
      </c>
      <c r="M82" s="1112"/>
      <c r="N82" s="867" t="s">
        <v>16</v>
      </c>
      <c r="O82" s="868" t="s">
        <v>17</v>
      </c>
      <c r="P82" s="868" t="s">
        <v>22</v>
      </c>
      <c r="Q82" s="46" t="s">
        <v>85</v>
      </c>
      <c r="R82" s="869"/>
      <c r="S82" s="870" t="s">
        <v>87</v>
      </c>
      <c r="T82" s="870" t="s">
        <v>88</v>
      </c>
      <c r="U82" s="14"/>
    </row>
    <row r="83" spans="2:21" s="12" customFormat="1" ht="15.4" customHeight="1">
      <c r="B83" s="9"/>
      <c r="C83" s="9" t="str">
        <f>IF(D83="","",IF(F83=0,"x",IF(F83&lt;&gt;0,"A","")))</f>
        <v>A</v>
      </c>
      <c r="D83" s="871" t="s">
        <v>48</v>
      </c>
      <c r="E83" s="871" t="s">
        <v>132</v>
      </c>
      <c r="F83" s="872" t="s">
        <v>170</v>
      </c>
      <c r="G83" s="873">
        <f>IF(H82="Wert manuell [-]",+H83,IF(H82="&lt; ja",+$AU$2,0))</f>
        <v>0</v>
      </c>
      <c r="H83" s="874"/>
      <c r="I83" s="1114" t="s">
        <v>171</v>
      </c>
      <c r="J83" s="1115"/>
      <c r="K83" s="875"/>
      <c r="L83" s="876"/>
      <c r="M83" s="877">
        <v>-123.45</v>
      </c>
      <c r="N83" s="878">
        <v>3950.4</v>
      </c>
      <c r="O83" s="878">
        <v>3703.5</v>
      </c>
      <c r="P83" s="878">
        <v>10595.05</v>
      </c>
      <c r="Q83" s="879" t="s">
        <v>94</v>
      </c>
      <c r="R83" s="869"/>
      <c r="S83" s="880">
        <v>12345.67</v>
      </c>
      <c r="T83" s="881">
        <v>0</v>
      </c>
      <c r="U83" s="40"/>
    </row>
    <row r="84" spans="2:21" s="99" customFormat="1" ht="9.75" customHeight="1">
      <c r="B84" s="1065" t="s">
        <v>130</v>
      </c>
      <c r="C84" s="1065"/>
      <c r="D84" s="1065"/>
      <c r="E84" s="1065" t="s">
        <v>131</v>
      </c>
      <c r="F84" s="1065"/>
      <c r="H84" s="882"/>
      <c r="I84" s="882"/>
      <c r="J84" s="882"/>
      <c r="K84" s="882"/>
      <c r="M84" s="882"/>
      <c r="N84" s="882"/>
      <c r="O84" s="882"/>
      <c r="P84" s="882"/>
      <c r="Q84" s="882" t="s">
        <v>174</v>
      </c>
      <c r="R84" s="882"/>
      <c r="S84" s="882"/>
      <c r="T84" s="57"/>
      <c r="U84" s="40"/>
    </row>
    <row r="85" spans="2:21" s="99" customFormat="1" ht="9.75" customHeight="1">
      <c r="B85" s="605"/>
      <c r="C85" s="605"/>
      <c r="D85" s="605"/>
      <c r="E85" s="883" t="s">
        <v>144</v>
      </c>
      <c r="F85" s="605"/>
      <c r="G85" s="882"/>
      <c r="H85" s="882"/>
      <c r="I85" s="882"/>
      <c r="J85" s="882"/>
      <c r="K85" s="882"/>
      <c r="L85" s="882"/>
      <c r="M85" s="882"/>
      <c r="N85" s="882"/>
      <c r="O85" s="882"/>
      <c r="P85" s="882"/>
      <c r="Q85" s="882"/>
      <c r="R85" s="882"/>
      <c r="S85" s="882"/>
      <c r="T85" s="884"/>
      <c r="U85" s="40"/>
    </row>
    <row r="86" spans="2:21" s="6" customFormat="1" ht="3" customHeight="1" thickBot="1">
      <c r="B86" s="885"/>
      <c r="C86" s="886"/>
      <c r="D86" s="885"/>
      <c r="E86" s="887"/>
      <c r="F86" s="888"/>
      <c r="G86" s="889"/>
      <c r="H86" s="890"/>
      <c r="I86" s="890"/>
      <c r="J86" s="891"/>
      <c r="K86" s="892"/>
      <c r="L86" s="890"/>
      <c r="M86" s="893"/>
      <c r="N86" s="894"/>
      <c r="O86" s="895"/>
      <c r="P86" s="895"/>
      <c r="Q86" s="895"/>
      <c r="R86" s="896"/>
      <c r="S86" s="885"/>
      <c r="T86" s="885"/>
      <c r="U86" s="897"/>
    </row>
    <row r="87" spans="2:21" s="6" customFormat="1" ht="3" customHeight="1" thickTop="1">
      <c r="C87" s="99"/>
      <c r="E87" s="16"/>
      <c r="F87" s="17"/>
      <c r="G87" s="898"/>
      <c r="H87" s="18"/>
      <c r="I87" s="18"/>
      <c r="J87" s="89"/>
      <c r="K87" s="108"/>
      <c r="L87" s="18"/>
      <c r="M87" s="10"/>
      <c r="N87" s="63"/>
      <c r="O87" s="11"/>
      <c r="P87" s="11"/>
      <c r="Q87" s="11"/>
      <c r="R87" s="102"/>
      <c r="U87" s="31"/>
    </row>
    <row r="88" spans="2:21" s="6" customFormat="1" ht="17.649999999999999" customHeight="1">
      <c r="B88" s="1122" t="s">
        <v>177</v>
      </c>
      <c r="C88" s="1123"/>
      <c r="D88" s="1123"/>
      <c r="E88" s="1123"/>
      <c r="F88" s="1124"/>
      <c r="G88" s="1116" t="s">
        <v>176</v>
      </c>
      <c r="H88" s="1117"/>
      <c r="I88" s="1117"/>
      <c r="J88" s="1117"/>
      <c r="K88" s="1117"/>
      <c r="L88" s="1117"/>
      <c r="M88" s="1117"/>
      <c r="N88" s="1117"/>
      <c r="O88" s="1117"/>
      <c r="P88" s="1117"/>
      <c r="Q88" s="1117"/>
      <c r="R88" s="1117"/>
      <c r="S88" s="1118"/>
      <c r="T88" s="1108" t="s">
        <v>145</v>
      </c>
      <c r="U88" s="1109"/>
    </row>
    <row r="89" spans="2:21" s="6" customFormat="1" ht="17.649999999999999" customHeight="1">
      <c r="B89" s="1125"/>
      <c r="C89" s="1126"/>
      <c r="D89" s="1126"/>
      <c r="E89" s="1126"/>
      <c r="F89" s="1127"/>
      <c r="G89" s="1119" t="s">
        <v>175</v>
      </c>
      <c r="H89" s="1120"/>
      <c r="I89" s="1120"/>
      <c r="J89" s="1120"/>
      <c r="K89" s="1120"/>
      <c r="L89" s="1120"/>
      <c r="M89" s="1120"/>
      <c r="N89" s="1120"/>
      <c r="O89" s="1120"/>
      <c r="P89" s="1120"/>
      <c r="Q89" s="1120"/>
      <c r="R89" s="1120"/>
      <c r="S89" s="1121"/>
      <c r="T89" s="1110"/>
      <c r="U89" s="1111"/>
    </row>
    <row r="90" spans="2:21" s="6" customFormat="1" ht="3" customHeight="1">
      <c r="C90" s="99"/>
      <c r="E90" s="16"/>
      <c r="F90" s="17"/>
      <c r="G90" s="898"/>
      <c r="H90" s="18"/>
      <c r="I90" s="18"/>
      <c r="J90" s="89"/>
      <c r="K90" s="108"/>
      <c r="L90" s="18"/>
      <c r="M90" s="10"/>
      <c r="N90" s="63"/>
      <c r="O90" s="11"/>
      <c r="P90" s="11"/>
      <c r="Q90" s="11"/>
      <c r="R90" s="102"/>
      <c r="U90" s="31"/>
    </row>
    <row r="91" spans="2:21" s="6" customFormat="1" ht="15" customHeight="1">
      <c r="B91" s="1100" t="s">
        <v>66</v>
      </c>
      <c r="C91" s="1101"/>
      <c r="D91" s="1101"/>
      <c r="E91" s="1101"/>
      <c r="F91" s="1101"/>
      <c r="G91" s="1101"/>
      <c r="H91" s="1101"/>
      <c r="I91" s="1101"/>
      <c r="J91" s="1101"/>
      <c r="K91" s="1101"/>
      <c r="L91" s="1101"/>
      <c r="M91" s="1101"/>
      <c r="N91" s="1101"/>
      <c r="O91" s="1101"/>
      <c r="P91" s="1101"/>
      <c r="Q91" s="1101"/>
      <c r="R91" s="1101"/>
      <c r="S91" s="1101"/>
      <c r="T91" s="1101"/>
      <c r="U91" s="1102"/>
    </row>
    <row r="92" spans="2:21" s="6" customFormat="1" ht="15">
      <c r="B92" s="1103"/>
      <c r="C92" s="1104"/>
      <c r="D92" s="1104"/>
      <c r="E92" s="1104"/>
      <c r="F92" s="1104"/>
      <c r="G92" s="1104"/>
      <c r="H92" s="1104"/>
      <c r="I92" s="1104"/>
      <c r="J92" s="1104"/>
      <c r="K92" s="1104"/>
      <c r="L92" s="1104"/>
      <c r="M92" s="1104"/>
      <c r="N92" s="1104"/>
      <c r="O92" s="1104"/>
      <c r="P92" s="1104"/>
      <c r="Q92" s="1104"/>
      <c r="R92" s="1104"/>
      <c r="S92" s="1104"/>
      <c r="T92" s="1104"/>
      <c r="U92" s="1105"/>
    </row>
    <row r="93" spans="2:21" s="6" customFormat="1" ht="15">
      <c r="C93" s="99"/>
      <c r="E93" s="16"/>
      <c r="F93" s="17"/>
      <c r="G93" s="898"/>
      <c r="H93" s="18"/>
      <c r="I93" s="18"/>
      <c r="J93" s="89"/>
      <c r="K93" s="108"/>
      <c r="L93" s="18"/>
      <c r="M93" s="10"/>
      <c r="N93" s="63"/>
      <c r="O93" s="11"/>
      <c r="P93" s="11"/>
      <c r="Q93" s="11"/>
      <c r="R93" s="102"/>
      <c r="U93" s="31"/>
    </row>
    <row r="94" spans="2:21" s="6" customFormat="1" ht="15">
      <c r="C94" s="99"/>
      <c r="E94" s="16"/>
      <c r="F94" s="17"/>
      <c r="G94" s="898"/>
      <c r="H94" s="18"/>
      <c r="I94" s="18"/>
      <c r="J94" s="89"/>
      <c r="K94" s="108"/>
      <c r="L94" s="18"/>
      <c r="M94" s="10"/>
      <c r="N94" s="63"/>
      <c r="O94" s="11"/>
      <c r="P94" s="11"/>
      <c r="Q94" s="11"/>
      <c r="R94" s="102"/>
      <c r="U94" s="31"/>
    </row>
    <row r="95" spans="2:21" s="6" customFormat="1" ht="15">
      <c r="C95" s="99"/>
      <c r="E95" s="16"/>
      <c r="F95" s="17"/>
      <c r="G95" s="898"/>
      <c r="H95" s="18"/>
      <c r="I95" s="18"/>
      <c r="J95" s="89"/>
      <c r="K95" s="108"/>
      <c r="L95" s="18"/>
      <c r="M95" s="10"/>
      <c r="N95" s="63"/>
      <c r="O95" s="11"/>
      <c r="P95" s="11"/>
      <c r="Q95" s="11"/>
      <c r="R95" s="102"/>
      <c r="U95" s="31"/>
    </row>
    <row r="96" spans="2:21" s="6" customFormat="1" ht="15">
      <c r="C96" s="99"/>
      <c r="E96" s="16"/>
      <c r="G96" s="898"/>
      <c r="H96" s="18"/>
      <c r="I96" s="18"/>
      <c r="J96" s="89"/>
      <c r="K96" s="108"/>
      <c r="L96" s="18"/>
      <c r="M96" s="10"/>
      <c r="N96" s="63"/>
      <c r="O96" s="11"/>
      <c r="P96" s="11"/>
      <c r="Q96" s="11"/>
      <c r="R96" s="102"/>
      <c r="U96" s="31"/>
    </row>
    <row r="97" spans="3:21" s="6" customFormat="1" ht="15">
      <c r="C97" s="99"/>
      <c r="E97" s="16"/>
      <c r="G97" s="898"/>
      <c r="H97" s="18"/>
      <c r="I97" s="18"/>
      <c r="J97" s="89"/>
      <c r="K97" s="108"/>
      <c r="L97" s="18"/>
      <c r="M97" s="10"/>
      <c r="N97" s="63"/>
      <c r="O97" s="11"/>
      <c r="P97" s="11"/>
      <c r="Q97" s="11"/>
      <c r="R97" s="102"/>
      <c r="U97" s="31"/>
    </row>
    <row r="98" spans="3:21" s="6" customFormat="1" ht="15">
      <c r="C98" s="99"/>
      <c r="E98" s="16"/>
      <c r="F98" s="17"/>
      <c r="G98" s="898"/>
      <c r="H98" s="18"/>
      <c r="I98" s="18"/>
      <c r="J98" s="89"/>
      <c r="K98" s="108"/>
      <c r="L98" s="18"/>
      <c r="M98" s="10"/>
      <c r="N98" s="63"/>
      <c r="O98" s="11"/>
      <c r="P98" s="11"/>
      <c r="Q98" s="11"/>
      <c r="R98" s="102"/>
      <c r="U98" s="31"/>
    </row>
    <row r="99" spans="3:21" s="6" customFormat="1" ht="15">
      <c r="C99" s="99"/>
      <c r="E99" s="16"/>
      <c r="F99" s="17"/>
      <c r="G99" s="898"/>
      <c r="H99" s="18"/>
      <c r="I99" s="18"/>
      <c r="J99" s="89"/>
      <c r="K99" s="108"/>
      <c r="L99" s="18"/>
      <c r="M99" s="10"/>
      <c r="N99" s="63"/>
      <c r="O99" s="11"/>
      <c r="P99" s="11"/>
      <c r="Q99" s="11"/>
      <c r="R99" s="102"/>
      <c r="U99" s="31"/>
    </row>
    <row r="100" spans="3:21" s="6" customFormat="1" ht="15">
      <c r="C100" s="99"/>
      <c r="E100" s="16"/>
      <c r="F100" s="17"/>
      <c r="G100" s="898"/>
      <c r="H100" s="18"/>
      <c r="I100" s="18"/>
      <c r="J100" s="89"/>
      <c r="K100" s="108"/>
      <c r="L100" s="18"/>
      <c r="M100" s="10"/>
      <c r="N100" s="63"/>
      <c r="O100" s="11"/>
      <c r="P100" s="11"/>
      <c r="Q100" s="11"/>
      <c r="R100" s="102"/>
      <c r="U100" s="31"/>
    </row>
    <row r="101" spans="3:21" s="6" customFormat="1" ht="15">
      <c r="C101" s="99"/>
      <c r="E101" s="16"/>
      <c r="F101" s="17"/>
      <c r="G101" s="898"/>
      <c r="H101" s="18"/>
      <c r="I101" s="18"/>
      <c r="J101" s="89"/>
      <c r="K101" s="108"/>
      <c r="L101" s="18"/>
      <c r="M101" s="10"/>
      <c r="N101" s="63"/>
      <c r="O101" s="11"/>
      <c r="P101" s="11"/>
      <c r="Q101" s="11"/>
      <c r="R101" s="102"/>
      <c r="U101" s="31"/>
    </row>
    <row r="102" spans="3:21" s="6" customFormat="1" ht="15">
      <c r="C102" s="99"/>
      <c r="E102" s="16"/>
      <c r="F102" s="17"/>
      <c r="G102" s="898"/>
      <c r="H102" s="18"/>
      <c r="I102" s="18"/>
      <c r="J102" s="89"/>
      <c r="K102" s="108"/>
      <c r="L102" s="18"/>
      <c r="M102" s="10"/>
      <c r="N102" s="63"/>
      <c r="O102" s="11"/>
      <c r="P102" s="11"/>
      <c r="Q102" s="11"/>
      <c r="R102" s="102"/>
      <c r="U102" s="31"/>
    </row>
    <row r="103" spans="3:21" s="6" customFormat="1" ht="15">
      <c r="C103" s="99"/>
      <c r="E103" s="16"/>
      <c r="F103" s="17"/>
      <c r="G103" s="898"/>
      <c r="H103" s="18"/>
      <c r="I103" s="18"/>
      <c r="J103" s="89"/>
      <c r="K103" s="108"/>
      <c r="L103" s="18"/>
      <c r="M103" s="10"/>
      <c r="N103" s="63"/>
      <c r="O103" s="11"/>
      <c r="P103" s="11"/>
      <c r="Q103" s="11"/>
      <c r="R103" s="102"/>
      <c r="U103" s="31"/>
    </row>
    <row r="104" spans="3:21" s="6" customFormat="1" ht="15">
      <c r="C104" s="99"/>
      <c r="E104" s="16"/>
      <c r="F104" s="17"/>
      <c r="G104" s="898"/>
      <c r="H104" s="18"/>
      <c r="I104" s="18"/>
      <c r="J104" s="89"/>
      <c r="K104" s="108"/>
      <c r="L104" s="18"/>
      <c r="M104" s="10"/>
      <c r="N104" s="63"/>
      <c r="O104" s="11"/>
      <c r="P104" s="11"/>
      <c r="Q104" s="11"/>
      <c r="R104" s="102"/>
      <c r="U104" s="31"/>
    </row>
    <row r="105" spans="3:21" s="6" customFormat="1" ht="15">
      <c r="C105" s="99"/>
      <c r="E105" s="16"/>
      <c r="F105" s="17"/>
      <c r="G105" s="898"/>
      <c r="H105" s="18"/>
      <c r="I105" s="18"/>
      <c r="J105" s="89"/>
      <c r="K105" s="108"/>
      <c r="L105" s="18"/>
      <c r="M105" s="10"/>
      <c r="N105" s="63"/>
      <c r="O105" s="11"/>
      <c r="P105" s="11"/>
      <c r="Q105" s="11"/>
      <c r="R105" s="102"/>
      <c r="U105" s="31"/>
    </row>
    <row r="106" spans="3:21" s="6" customFormat="1" ht="15">
      <c r="C106" s="99"/>
      <c r="E106" s="16"/>
      <c r="F106" s="17"/>
      <c r="G106" s="898"/>
      <c r="H106" s="18"/>
      <c r="I106" s="18"/>
      <c r="J106" s="89"/>
      <c r="K106" s="108"/>
      <c r="L106" s="18"/>
      <c r="M106" s="10"/>
      <c r="N106" s="63"/>
      <c r="O106" s="11"/>
      <c r="P106" s="11"/>
      <c r="Q106" s="11"/>
      <c r="R106" s="102"/>
      <c r="U106" s="31"/>
    </row>
    <row r="107" spans="3:21" s="6" customFormat="1" ht="15">
      <c r="C107" s="99"/>
      <c r="E107" s="16"/>
      <c r="F107" s="17"/>
      <c r="G107" s="898"/>
      <c r="H107" s="18"/>
      <c r="I107" s="18"/>
      <c r="J107" s="89"/>
      <c r="K107" s="108"/>
      <c r="L107" s="18"/>
      <c r="M107" s="10"/>
      <c r="N107" s="63"/>
      <c r="O107" s="11"/>
      <c r="P107" s="11"/>
      <c r="Q107" s="11"/>
      <c r="R107" s="102"/>
      <c r="U107" s="31"/>
    </row>
    <row r="108" spans="3:21" s="6" customFormat="1" ht="15">
      <c r="C108" s="99"/>
      <c r="E108" s="16"/>
      <c r="F108" s="17"/>
      <c r="G108" s="898"/>
      <c r="H108" s="18"/>
      <c r="I108" s="18"/>
      <c r="J108" s="89"/>
      <c r="K108" s="108"/>
      <c r="L108" s="18"/>
      <c r="M108" s="10"/>
      <c r="N108" s="63"/>
      <c r="O108" s="11"/>
      <c r="P108" s="11"/>
      <c r="Q108" s="11"/>
      <c r="R108" s="102"/>
      <c r="U108" s="31"/>
    </row>
    <row r="109" spans="3:21" s="6" customFormat="1" ht="15">
      <c r="C109" s="99"/>
      <c r="E109" s="16"/>
      <c r="F109" s="17"/>
      <c r="G109" s="898"/>
      <c r="H109" s="18"/>
      <c r="I109" s="18"/>
      <c r="J109" s="89"/>
      <c r="K109" s="108"/>
      <c r="L109" s="18"/>
      <c r="M109" s="10"/>
      <c r="N109" s="63"/>
      <c r="O109" s="11"/>
      <c r="P109" s="11"/>
      <c r="Q109" s="11"/>
      <c r="R109" s="102"/>
      <c r="U109" s="31"/>
    </row>
    <row r="110" spans="3:21" s="6" customFormat="1" ht="15">
      <c r="C110" s="99"/>
      <c r="E110" s="16"/>
      <c r="F110" s="17"/>
      <c r="G110" s="898"/>
      <c r="H110" s="18"/>
      <c r="I110" s="18"/>
      <c r="J110" s="89"/>
      <c r="K110" s="108"/>
      <c r="L110" s="18"/>
      <c r="M110" s="10"/>
      <c r="N110" s="63"/>
      <c r="O110" s="11"/>
      <c r="P110" s="11"/>
      <c r="Q110" s="11"/>
      <c r="R110" s="102"/>
      <c r="U110" s="31"/>
    </row>
    <row r="111" spans="3:21" s="6" customFormat="1" ht="15">
      <c r="C111" s="99"/>
      <c r="E111" s="16"/>
      <c r="F111" s="17"/>
      <c r="G111" s="898"/>
      <c r="H111" s="18"/>
      <c r="I111" s="18"/>
      <c r="J111" s="89"/>
      <c r="K111" s="108"/>
      <c r="L111" s="18"/>
      <c r="M111" s="10"/>
      <c r="N111" s="63"/>
      <c r="O111" s="11"/>
      <c r="P111" s="11"/>
      <c r="Q111" s="11"/>
      <c r="R111" s="102"/>
      <c r="U111" s="31"/>
    </row>
    <row r="112" spans="3:21" s="6" customFormat="1" ht="15">
      <c r="C112" s="99"/>
      <c r="E112" s="16"/>
      <c r="F112" s="17"/>
      <c r="G112" s="898"/>
      <c r="H112" s="18"/>
      <c r="I112" s="18"/>
      <c r="J112" s="89"/>
      <c r="K112" s="108"/>
      <c r="L112" s="18"/>
      <c r="M112" s="10"/>
      <c r="N112" s="63"/>
      <c r="O112" s="11"/>
      <c r="P112" s="11"/>
      <c r="Q112" s="11"/>
      <c r="R112" s="102"/>
      <c r="U112" s="31"/>
    </row>
    <row r="113" spans="3:21" s="6" customFormat="1" ht="15">
      <c r="C113" s="99"/>
      <c r="E113" s="16"/>
      <c r="F113" s="17"/>
      <c r="G113" s="898"/>
      <c r="H113" s="18"/>
      <c r="I113" s="18"/>
      <c r="J113" s="89"/>
      <c r="K113" s="108"/>
      <c r="L113" s="18"/>
      <c r="M113" s="10"/>
      <c r="N113" s="63"/>
      <c r="O113" s="11"/>
      <c r="P113" s="11"/>
      <c r="Q113" s="11"/>
      <c r="R113" s="102"/>
      <c r="U113" s="31"/>
    </row>
    <row r="114" spans="3:21" s="6" customFormat="1" ht="15">
      <c r="C114" s="99"/>
      <c r="E114" s="16"/>
      <c r="F114" s="17"/>
      <c r="G114" s="898"/>
      <c r="H114" s="18"/>
      <c r="I114" s="18"/>
      <c r="J114" s="89"/>
      <c r="K114" s="108"/>
      <c r="L114" s="18"/>
      <c r="M114" s="10"/>
      <c r="N114" s="63"/>
      <c r="O114" s="11"/>
      <c r="P114" s="11"/>
      <c r="Q114" s="11"/>
      <c r="R114" s="102"/>
      <c r="U114" s="31"/>
    </row>
    <row r="115" spans="3:21" s="6" customFormat="1" ht="15">
      <c r="C115" s="99"/>
      <c r="E115" s="16"/>
      <c r="F115" s="17"/>
      <c r="G115" s="898"/>
      <c r="H115" s="18"/>
      <c r="I115" s="18"/>
      <c r="J115" s="89"/>
      <c r="K115" s="108"/>
      <c r="L115" s="18"/>
      <c r="M115" s="10"/>
      <c r="N115" s="63"/>
      <c r="O115" s="11"/>
      <c r="P115" s="11"/>
      <c r="Q115" s="11"/>
      <c r="R115" s="102"/>
      <c r="U115" s="31"/>
    </row>
    <row r="116" spans="3:21" s="6" customFormat="1" ht="15">
      <c r="C116" s="99"/>
      <c r="E116" s="16"/>
      <c r="F116" s="17"/>
      <c r="G116" s="898"/>
      <c r="H116" s="18"/>
      <c r="I116" s="18"/>
      <c r="J116" s="89"/>
      <c r="K116" s="108"/>
      <c r="L116" s="18"/>
      <c r="M116" s="10"/>
      <c r="N116" s="63"/>
      <c r="O116" s="11"/>
      <c r="P116" s="11"/>
      <c r="Q116" s="11"/>
      <c r="R116" s="102"/>
      <c r="U116" s="31"/>
    </row>
    <row r="117" spans="3:21" s="6" customFormat="1" ht="15">
      <c r="C117" s="99"/>
      <c r="E117" s="16"/>
      <c r="F117" s="17"/>
      <c r="G117" s="898"/>
      <c r="H117" s="18"/>
      <c r="I117" s="18"/>
      <c r="J117" s="89"/>
      <c r="K117" s="108"/>
      <c r="L117" s="18"/>
      <c r="M117" s="10"/>
      <c r="N117" s="63"/>
      <c r="O117" s="11"/>
      <c r="P117" s="11"/>
      <c r="Q117" s="11"/>
      <c r="R117" s="102"/>
      <c r="U117" s="31"/>
    </row>
    <row r="118" spans="3:21" s="6" customFormat="1" ht="15">
      <c r="C118" s="99"/>
      <c r="E118" s="16"/>
      <c r="F118" s="17"/>
      <c r="G118" s="898"/>
      <c r="H118" s="18"/>
      <c r="I118" s="18"/>
      <c r="J118" s="89"/>
      <c r="K118" s="108"/>
      <c r="L118" s="18"/>
      <c r="M118" s="10"/>
      <c r="N118" s="63"/>
      <c r="O118" s="11"/>
      <c r="P118" s="11"/>
      <c r="Q118" s="11"/>
      <c r="R118" s="102"/>
      <c r="U118" s="31"/>
    </row>
    <row r="119" spans="3:21" s="6" customFormat="1" ht="15">
      <c r="C119" s="99"/>
      <c r="E119" s="16"/>
      <c r="F119" s="17"/>
      <c r="G119" s="898"/>
      <c r="H119" s="18"/>
      <c r="I119" s="18"/>
      <c r="J119" s="89"/>
      <c r="K119" s="108"/>
      <c r="L119" s="18"/>
      <c r="M119" s="10"/>
      <c r="N119" s="63"/>
      <c r="O119" s="11"/>
      <c r="P119" s="11"/>
      <c r="Q119" s="11"/>
      <c r="R119" s="102"/>
      <c r="U119" s="31"/>
    </row>
    <row r="120" spans="3:21" s="6" customFormat="1" ht="15">
      <c r="C120" s="99"/>
      <c r="E120" s="16"/>
      <c r="F120" s="17"/>
      <c r="G120" s="898"/>
      <c r="H120" s="18"/>
      <c r="I120" s="18"/>
      <c r="J120" s="89"/>
      <c r="K120" s="108"/>
      <c r="L120" s="18"/>
      <c r="M120" s="10"/>
      <c r="N120" s="63"/>
      <c r="O120" s="11"/>
      <c r="P120" s="11"/>
      <c r="Q120" s="11"/>
      <c r="R120" s="102"/>
      <c r="U120" s="31"/>
    </row>
    <row r="121" spans="3:21" s="6" customFormat="1" ht="15">
      <c r="C121" s="99"/>
      <c r="E121" s="16"/>
      <c r="F121" s="17"/>
      <c r="G121" s="898"/>
      <c r="H121" s="18"/>
      <c r="I121" s="18"/>
      <c r="J121" s="89"/>
      <c r="K121" s="108"/>
      <c r="L121" s="18"/>
      <c r="M121" s="10"/>
      <c r="N121" s="63"/>
      <c r="O121" s="11"/>
      <c r="P121" s="11"/>
      <c r="Q121" s="11"/>
      <c r="R121" s="102"/>
      <c r="U121" s="31"/>
    </row>
    <row r="122" spans="3:21" s="6" customFormat="1" ht="15">
      <c r="C122" s="99"/>
      <c r="E122" s="16"/>
      <c r="F122" s="17"/>
      <c r="G122" s="898"/>
      <c r="H122" s="18"/>
      <c r="I122" s="18"/>
      <c r="J122" s="89"/>
      <c r="K122" s="108"/>
      <c r="L122" s="18"/>
      <c r="M122" s="10"/>
      <c r="N122" s="63"/>
      <c r="O122" s="11"/>
      <c r="P122" s="11"/>
      <c r="Q122" s="11"/>
      <c r="R122" s="102"/>
      <c r="U122" s="31"/>
    </row>
    <row r="123" spans="3:21" s="6" customFormat="1" ht="15">
      <c r="C123" s="99"/>
      <c r="E123" s="16"/>
      <c r="F123" s="17"/>
      <c r="G123" s="898"/>
      <c r="H123" s="18"/>
      <c r="I123" s="18"/>
      <c r="J123" s="89"/>
      <c r="K123" s="108"/>
      <c r="L123" s="18"/>
      <c r="M123" s="10"/>
      <c r="N123" s="63"/>
      <c r="O123" s="11"/>
      <c r="P123" s="11"/>
      <c r="Q123" s="11"/>
      <c r="R123" s="102"/>
      <c r="U123" s="31"/>
    </row>
    <row r="124" spans="3:21" s="6" customFormat="1" ht="15">
      <c r="C124" s="99"/>
      <c r="E124" s="16"/>
      <c r="F124" s="17"/>
      <c r="G124" s="898"/>
      <c r="H124" s="18"/>
      <c r="I124" s="18"/>
      <c r="J124" s="89"/>
      <c r="K124" s="108"/>
      <c r="L124" s="18"/>
      <c r="M124" s="10"/>
      <c r="N124" s="63"/>
      <c r="O124" s="11"/>
      <c r="P124" s="11"/>
      <c r="Q124" s="11"/>
      <c r="R124" s="102"/>
      <c r="U124" s="31"/>
    </row>
    <row r="125" spans="3:21" s="6" customFormat="1" ht="15">
      <c r="C125" s="99"/>
      <c r="E125" s="16"/>
      <c r="F125" s="17"/>
      <c r="G125" s="898"/>
      <c r="H125" s="18"/>
      <c r="I125" s="18"/>
      <c r="J125" s="89"/>
      <c r="K125" s="108"/>
      <c r="L125" s="18"/>
      <c r="M125" s="10"/>
      <c r="N125" s="63"/>
      <c r="O125" s="11"/>
      <c r="P125" s="11"/>
      <c r="Q125" s="11"/>
      <c r="R125" s="102"/>
      <c r="U125" s="31"/>
    </row>
    <row r="126" spans="3:21" s="6" customFormat="1" ht="15">
      <c r="C126" s="99"/>
      <c r="E126" s="16"/>
      <c r="F126" s="17"/>
      <c r="G126" s="898"/>
      <c r="H126" s="18"/>
      <c r="I126" s="18"/>
      <c r="J126" s="89"/>
      <c r="K126" s="108"/>
      <c r="L126" s="18"/>
      <c r="M126" s="10"/>
      <c r="N126" s="63"/>
      <c r="O126" s="11"/>
      <c r="P126" s="11"/>
      <c r="Q126" s="11"/>
      <c r="R126" s="102"/>
      <c r="U126" s="31"/>
    </row>
    <row r="127" spans="3:21" s="6" customFormat="1" ht="15">
      <c r="C127" s="99"/>
      <c r="E127" s="16"/>
      <c r="F127" s="17"/>
      <c r="G127" s="898"/>
      <c r="H127" s="18"/>
      <c r="I127" s="18"/>
      <c r="J127" s="89"/>
      <c r="K127" s="108"/>
      <c r="L127" s="18"/>
      <c r="M127" s="10"/>
      <c r="N127" s="63"/>
      <c r="O127" s="11"/>
      <c r="P127" s="11"/>
      <c r="Q127" s="11"/>
      <c r="R127" s="102"/>
      <c r="U127" s="31"/>
    </row>
    <row r="128" spans="3:21" s="6" customFormat="1" ht="15">
      <c r="C128" s="99"/>
      <c r="E128" s="16"/>
      <c r="F128" s="17"/>
      <c r="G128" s="898"/>
      <c r="H128" s="18"/>
      <c r="I128" s="18"/>
      <c r="J128" s="89"/>
      <c r="K128" s="108"/>
      <c r="L128" s="18"/>
      <c r="M128" s="10"/>
      <c r="N128" s="63"/>
      <c r="O128" s="11"/>
      <c r="P128" s="11"/>
      <c r="Q128" s="11"/>
      <c r="R128" s="102"/>
      <c r="U128" s="31"/>
    </row>
    <row r="129" spans="3:21" s="6" customFormat="1" ht="15">
      <c r="C129" s="99"/>
      <c r="E129" s="16"/>
      <c r="F129" s="17"/>
      <c r="G129" s="898"/>
      <c r="H129" s="18"/>
      <c r="I129" s="18"/>
      <c r="J129" s="89"/>
      <c r="K129" s="108"/>
      <c r="L129" s="18"/>
      <c r="M129" s="10"/>
      <c r="N129" s="63"/>
      <c r="O129" s="11"/>
      <c r="P129" s="11"/>
      <c r="Q129" s="11"/>
      <c r="R129" s="102"/>
      <c r="U129" s="31"/>
    </row>
    <row r="130" spans="3:21" s="6" customFormat="1" ht="15">
      <c r="C130" s="99"/>
      <c r="E130" s="16"/>
      <c r="F130" s="17"/>
      <c r="G130" s="898"/>
      <c r="H130" s="18"/>
      <c r="I130" s="18"/>
      <c r="J130" s="89"/>
      <c r="K130" s="108"/>
      <c r="L130" s="18"/>
      <c r="M130" s="10"/>
      <c r="N130" s="63"/>
      <c r="O130" s="11"/>
      <c r="P130" s="11"/>
      <c r="Q130" s="11"/>
      <c r="R130" s="102"/>
      <c r="U130" s="31"/>
    </row>
    <row r="131" spans="3:21" s="6" customFormat="1" ht="15">
      <c r="C131" s="99"/>
      <c r="E131" s="16"/>
      <c r="F131" s="17"/>
      <c r="G131" s="898"/>
      <c r="H131" s="18"/>
      <c r="I131" s="18"/>
      <c r="J131" s="89"/>
      <c r="K131" s="108"/>
      <c r="L131" s="18"/>
      <c r="M131" s="10"/>
      <c r="N131" s="63"/>
      <c r="O131" s="11"/>
      <c r="P131" s="11"/>
      <c r="Q131" s="11"/>
      <c r="R131" s="102"/>
      <c r="U131" s="31"/>
    </row>
    <row r="132" spans="3:21" s="6" customFormat="1" ht="15">
      <c r="C132" s="99"/>
      <c r="E132" s="16"/>
      <c r="F132" s="17"/>
      <c r="G132" s="898"/>
      <c r="H132" s="18"/>
      <c r="I132" s="18"/>
      <c r="J132" s="89"/>
      <c r="K132" s="108"/>
      <c r="L132" s="18"/>
      <c r="M132" s="10"/>
      <c r="N132" s="63"/>
      <c r="O132" s="11"/>
      <c r="P132" s="11"/>
      <c r="Q132" s="11"/>
      <c r="R132" s="102"/>
      <c r="U132" s="31"/>
    </row>
    <row r="133" spans="3:21" s="6" customFormat="1" ht="15">
      <c r="C133" s="99"/>
      <c r="E133" s="16"/>
      <c r="F133" s="17"/>
      <c r="G133" s="898"/>
      <c r="H133" s="18"/>
      <c r="I133" s="18"/>
      <c r="J133" s="89"/>
      <c r="K133" s="108"/>
      <c r="L133" s="18"/>
      <c r="M133" s="10"/>
      <c r="N133" s="63"/>
      <c r="O133" s="11"/>
      <c r="P133" s="11"/>
      <c r="Q133" s="11"/>
      <c r="R133" s="102"/>
      <c r="U133" s="31"/>
    </row>
    <row r="134" spans="3:21" s="6" customFormat="1" ht="15">
      <c r="C134" s="99"/>
      <c r="E134" s="16"/>
      <c r="F134" s="17"/>
      <c r="G134" s="898"/>
      <c r="H134" s="18"/>
      <c r="I134" s="18"/>
      <c r="J134" s="89"/>
      <c r="K134" s="108"/>
      <c r="L134" s="18"/>
      <c r="M134" s="10"/>
      <c r="N134" s="63"/>
      <c r="O134" s="11"/>
      <c r="P134" s="11"/>
      <c r="Q134" s="11"/>
      <c r="R134" s="102"/>
      <c r="U134" s="31"/>
    </row>
    <row r="135" spans="3:21" s="6" customFormat="1" ht="15">
      <c r="C135" s="99"/>
      <c r="E135" s="16"/>
      <c r="F135" s="17"/>
      <c r="G135" s="898"/>
      <c r="H135" s="18"/>
      <c r="I135" s="18"/>
      <c r="J135" s="89"/>
      <c r="K135" s="108"/>
      <c r="L135" s="18"/>
      <c r="M135" s="10"/>
      <c r="N135" s="63"/>
      <c r="O135" s="11"/>
      <c r="P135" s="11"/>
      <c r="Q135" s="11"/>
      <c r="R135" s="102"/>
      <c r="U135" s="31"/>
    </row>
    <row r="136" spans="3:21" s="6" customFormat="1" ht="15">
      <c r="C136" s="99"/>
      <c r="E136" s="16"/>
      <c r="F136" s="17"/>
      <c r="G136" s="898"/>
      <c r="H136" s="18"/>
      <c r="I136" s="18"/>
      <c r="J136" s="89"/>
      <c r="K136" s="108"/>
      <c r="L136" s="18"/>
      <c r="M136" s="10"/>
      <c r="N136" s="63"/>
      <c r="O136" s="11"/>
      <c r="P136" s="11"/>
      <c r="Q136" s="11"/>
      <c r="R136" s="102"/>
      <c r="U136" s="31"/>
    </row>
    <row r="137" spans="3:21" s="6" customFormat="1" ht="15">
      <c r="C137" s="99"/>
      <c r="E137" s="16"/>
      <c r="F137" s="17"/>
      <c r="G137" s="898"/>
      <c r="H137" s="18"/>
      <c r="I137" s="18"/>
      <c r="J137" s="89"/>
      <c r="K137" s="108"/>
      <c r="L137" s="18"/>
      <c r="M137" s="10"/>
      <c r="N137" s="63"/>
      <c r="O137" s="11"/>
      <c r="P137" s="11"/>
      <c r="Q137" s="11"/>
      <c r="R137" s="102"/>
      <c r="U137" s="31"/>
    </row>
    <row r="138" spans="3:21" s="6" customFormat="1" ht="15">
      <c r="C138" s="99"/>
      <c r="E138" s="16"/>
      <c r="F138" s="17"/>
      <c r="G138" s="898"/>
      <c r="H138" s="18"/>
      <c r="I138" s="18"/>
      <c r="J138" s="89"/>
      <c r="K138" s="108"/>
      <c r="L138" s="18"/>
      <c r="M138" s="10"/>
      <c r="N138" s="63"/>
      <c r="O138" s="11"/>
      <c r="P138" s="11"/>
      <c r="Q138" s="11"/>
      <c r="R138" s="102"/>
      <c r="U138" s="31"/>
    </row>
    <row r="139" spans="3:21" s="6" customFormat="1" ht="15">
      <c r="C139" s="99"/>
      <c r="E139" s="16"/>
      <c r="F139" s="17"/>
      <c r="G139" s="898"/>
      <c r="H139" s="18"/>
      <c r="I139" s="18"/>
      <c r="J139" s="89"/>
      <c r="K139" s="108"/>
      <c r="L139" s="18"/>
      <c r="M139" s="10"/>
      <c r="N139" s="63"/>
      <c r="O139" s="11"/>
      <c r="P139" s="11"/>
      <c r="Q139" s="11"/>
      <c r="R139" s="102"/>
      <c r="U139" s="31"/>
    </row>
    <row r="140" spans="3:21" s="6" customFormat="1" ht="15">
      <c r="C140" s="99"/>
      <c r="E140" s="16"/>
      <c r="F140" s="17"/>
      <c r="G140" s="898"/>
      <c r="H140" s="18"/>
      <c r="I140" s="18"/>
      <c r="J140" s="89"/>
      <c r="K140" s="108"/>
      <c r="L140" s="18"/>
      <c r="M140" s="10"/>
      <c r="N140" s="63"/>
      <c r="O140" s="11"/>
      <c r="P140" s="11"/>
      <c r="Q140" s="11"/>
      <c r="R140" s="102"/>
      <c r="U140" s="31"/>
    </row>
    <row r="141" spans="3:21" s="6" customFormat="1" ht="15">
      <c r="C141" s="99"/>
      <c r="E141" s="16"/>
      <c r="F141" s="17"/>
      <c r="G141" s="898"/>
      <c r="H141" s="18"/>
      <c r="I141" s="18"/>
      <c r="J141" s="89"/>
      <c r="K141" s="108"/>
      <c r="L141" s="18"/>
      <c r="M141" s="10"/>
      <c r="N141" s="63"/>
      <c r="O141" s="11"/>
      <c r="P141" s="11"/>
      <c r="Q141" s="11"/>
      <c r="R141" s="102"/>
      <c r="U141" s="31"/>
    </row>
    <row r="142" spans="3:21" s="6" customFormat="1" ht="15">
      <c r="C142" s="99"/>
      <c r="E142" s="16"/>
      <c r="F142" s="17"/>
      <c r="G142" s="898"/>
      <c r="H142" s="18"/>
      <c r="I142" s="18"/>
      <c r="J142" s="89"/>
      <c r="K142" s="108"/>
      <c r="L142" s="18"/>
      <c r="M142" s="10"/>
      <c r="N142" s="63"/>
      <c r="O142" s="11"/>
      <c r="P142" s="11"/>
      <c r="Q142" s="11"/>
      <c r="R142" s="102"/>
      <c r="U142" s="31"/>
    </row>
    <row r="143" spans="3:21" s="6" customFormat="1" ht="15">
      <c r="C143" s="99"/>
      <c r="E143" s="16"/>
      <c r="F143" s="17"/>
      <c r="G143" s="898"/>
      <c r="H143" s="18"/>
      <c r="I143" s="18"/>
      <c r="J143" s="89"/>
      <c r="K143" s="108"/>
      <c r="L143" s="18"/>
      <c r="M143" s="10"/>
      <c r="N143" s="63"/>
      <c r="O143" s="11"/>
      <c r="P143" s="11"/>
      <c r="Q143" s="11"/>
      <c r="R143" s="102"/>
      <c r="U143" s="31"/>
    </row>
    <row r="144" spans="3:21" s="6" customFormat="1" ht="15">
      <c r="C144" s="99"/>
      <c r="E144" s="16"/>
      <c r="F144" s="17"/>
      <c r="G144" s="898"/>
      <c r="H144" s="18"/>
      <c r="I144" s="18"/>
      <c r="J144" s="89"/>
      <c r="K144" s="108"/>
      <c r="L144" s="18"/>
      <c r="M144" s="10"/>
      <c r="N144" s="63"/>
      <c r="O144" s="11"/>
      <c r="P144" s="11"/>
      <c r="Q144" s="11"/>
      <c r="R144" s="102"/>
      <c r="U144" s="31"/>
    </row>
    <row r="145" spans="3:21" s="6" customFormat="1" ht="15">
      <c r="C145" s="99"/>
      <c r="E145" s="16"/>
      <c r="F145" s="17"/>
      <c r="G145" s="898"/>
      <c r="H145" s="18"/>
      <c r="I145" s="18"/>
      <c r="J145" s="89"/>
      <c r="K145" s="108"/>
      <c r="L145" s="18"/>
      <c r="M145" s="10"/>
      <c r="N145" s="63"/>
      <c r="O145" s="11"/>
      <c r="P145" s="11"/>
      <c r="Q145" s="11"/>
      <c r="R145" s="102"/>
      <c r="U145" s="31"/>
    </row>
    <row r="146" spans="3:21" s="6" customFormat="1" ht="15">
      <c r="C146" s="99"/>
      <c r="E146" s="16"/>
      <c r="F146" s="17"/>
      <c r="G146" s="898"/>
      <c r="H146" s="18"/>
      <c r="I146" s="18"/>
      <c r="J146" s="89"/>
      <c r="K146" s="108"/>
      <c r="L146" s="18"/>
      <c r="M146" s="10"/>
      <c r="N146" s="63"/>
      <c r="O146" s="11"/>
      <c r="P146" s="11"/>
      <c r="Q146" s="11"/>
      <c r="R146" s="102"/>
      <c r="U146" s="31"/>
    </row>
    <row r="147" spans="3:21" s="6" customFormat="1" ht="15">
      <c r="C147" s="99"/>
      <c r="E147" s="16"/>
      <c r="F147" s="17"/>
      <c r="G147" s="898"/>
      <c r="H147" s="18"/>
      <c r="I147" s="18"/>
      <c r="J147" s="89"/>
      <c r="K147" s="108"/>
      <c r="L147" s="18"/>
      <c r="M147" s="10"/>
      <c r="N147" s="63"/>
      <c r="O147" s="11"/>
      <c r="P147" s="11"/>
      <c r="Q147" s="11"/>
      <c r="R147" s="102"/>
      <c r="U147" s="31"/>
    </row>
    <row r="148" spans="3:21" s="6" customFormat="1" ht="15">
      <c r="C148" s="99"/>
      <c r="E148" s="16"/>
      <c r="F148" s="17"/>
      <c r="G148" s="898"/>
      <c r="H148" s="18"/>
      <c r="I148" s="18"/>
      <c r="J148" s="89"/>
      <c r="K148" s="108"/>
      <c r="L148" s="18"/>
      <c r="M148" s="10"/>
      <c r="N148" s="63"/>
      <c r="O148" s="11"/>
      <c r="P148" s="11"/>
      <c r="Q148" s="11"/>
      <c r="R148" s="102"/>
      <c r="U148" s="31"/>
    </row>
    <row r="149" spans="3:21" s="6" customFormat="1" ht="15">
      <c r="C149" s="99"/>
      <c r="E149" s="16"/>
      <c r="F149" s="17"/>
      <c r="G149" s="898"/>
      <c r="H149" s="18"/>
      <c r="I149" s="18"/>
      <c r="J149" s="89"/>
      <c r="K149" s="108"/>
      <c r="L149" s="18"/>
      <c r="M149" s="10"/>
      <c r="N149" s="63"/>
      <c r="O149" s="11"/>
      <c r="P149" s="11"/>
      <c r="Q149" s="11"/>
      <c r="R149" s="102"/>
      <c r="U149" s="31"/>
    </row>
    <row r="150" spans="3:21" s="6" customFormat="1" ht="15">
      <c r="C150" s="99"/>
      <c r="E150" s="16"/>
      <c r="F150" s="17"/>
      <c r="G150" s="898"/>
      <c r="H150" s="18"/>
      <c r="I150" s="18"/>
      <c r="J150" s="89"/>
      <c r="K150" s="108"/>
      <c r="L150" s="18"/>
      <c r="M150" s="10"/>
      <c r="N150" s="63"/>
      <c r="O150" s="11"/>
      <c r="P150" s="11"/>
      <c r="Q150" s="11"/>
      <c r="R150" s="102"/>
      <c r="U150" s="31"/>
    </row>
    <row r="151" spans="3:21" s="6" customFormat="1" ht="15">
      <c r="C151" s="99"/>
      <c r="E151" s="16"/>
      <c r="F151" s="17"/>
      <c r="G151" s="898"/>
      <c r="H151" s="18"/>
      <c r="I151" s="18"/>
      <c r="J151" s="89"/>
      <c r="K151" s="108"/>
      <c r="L151" s="18"/>
      <c r="M151" s="10"/>
      <c r="N151" s="63"/>
      <c r="O151" s="11"/>
      <c r="P151" s="11"/>
      <c r="Q151" s="11"/>
      <c r="R151" s="102"/>
      <c r="U151" s="31"/>
    </row>
    <row r="152" spans="3:21" s="6" customFormat="1" ht="15">
      <c r="C152" s="99"/>
      <c r="E152" s="16"/>
      <c r="F152" s="17"/>
      <c r="G152" s="898"/>
      <c r="H152" s="18"/>
      <c r="I152" s="18"/>
      <c r="J152" s="89"/>
      <c r="K152" s="108"/>
      <c r="L152" s="18"/>
      <c r="M152" s="10"/>
      <c r="N152" s="63"/>
      <c r="O152" s="11"/>
      <c r="P152" s="11"/>
      <c r="Q152" s="11"/>
      <c r="R152" s="102"/>
      <c r="U152" s="31"/>
    </row>
    <row r="153" spans="3:21" s="6" customFormat="1" ht="15">
      <c r="C153" s="99"/>
      <c r="E153" s="16"/>
      <c r="F153" s="17"/>
      <c r="G153" s="898"/>
      <c r="H153" s="18"/>
      <c r="I153" s="18"/>
      <c r="J153" s="89"/>
      <c r="K153" s="108"/>
      <c r="L153" s="18"/>
      <c r="M153" s="10"/>
      <c r="N153" s="63"/>
      <c r="O153" s="11"/>
      <c r="P153" s="11"/>
      <c r="Q153" s="11"/>
      <c r="R153" s="102"/>
      <c r="U153" s="31"/>
    </row>
    <row r="154" spans="3:21" s="6" customFormat="1" ht="15">
      <c r="C154" s="99"/>
      <c r="E154" s="16"/>
      <c r="F154" s="17"/>
      <c r="G154" s="898"/>
      <c r="H154" s="18"/>
      <c r="I154" s="18"/>
      <c r="J154" s="89"/>
      <c r="K154" s="108"/>
      <c r="L154" s="18"/>
      <c r="M154" s="10"/>
      <c r="N154" s="63"/>
      <c r="O154" s="11"/>
      <c r="P154" s="11"/>
      <c r="Q154" s="11"/>
      <c r="R154" s="102"/>
      <c r="U154" s="31"/>
    </row>
    <row r="155" spans="3:21" s="6" customFormat="1" ht="15">
      <c r="C155" s="99"/>
      <c r="E155" s="16"/>
      <c r="F155" s="17"/>
      <c r="G155" s="898"/>
      <c r="H155" s="18"/>
      <c r="I155" s="18"/>
      <c r="J155" s="89"/>
      <c r="K155" s="108"/>
      <c r="L155" s="18"/>
      <c r="M155" s="10"/>
      <c r="N155" s="63"/>
      <c r="O155" s="11"/>
      <c r="P155" s="11"/>
      <c r="Q155" s="11"/>
      <c r="R155" s="102"/>
      <c r="U155" s="31"/>
    </row>
    <row r="156" spans="3:21" s="6" customFormat="1" ht="15">
      <c r="C156" s="99"/>
      <c r="E156" s="16"/>
      <c r="F156" s="17"/>
      <c r="G156" s="898"/>
      <c r="H156" s="18"/>
      <c r="I156" s="18"/>
      <c r="J156" s="89"/>
      <c r="K156" s="108"/>
      <c r="L156" s="18"/>
      <c r="M156" s="10"/>
      <c r="N156" s="63"/>
      <c r="O156" s="11"/>
      <c r="P156" s="11"/>
      <c r="Q156" s="11"/>
      <c r="R156" s="102"/>
      <c r="U156" s="31"/>
    </row>
    <row r="157" spans="3:21" s="6" customFormat="1" ht="15">
      <c r="C157" s="99"/>
      <c r="E157" s="16"/>
      <c r="F157" s="17"/>
      <c r="G157" s="898"/>
      <c r="H157" s="18"/>
      <c r="I157" s="18"/>
      <c r="J157" s="89"/>
      <c r="K157" s="108"/>
      <c r="L157" s="18"/>
      <c r="M157" s="10"/>
      <c r="N157" s="63"/>
      <c r="O157" s="11"/>
      <c r="P157" s="11"/>
      <c r="Q157" s="11"/>
      <c r="R157" s="102"/>
      <c r="U157" s="31"/>
    </row>
    <row r="158" spans="3:21" s="6" customFormat="1" ht="15">
      <c r="C158" s="99"/>
      <c r="E158" s="16"/>
      <c r="F158" s="17"/>
      <c r="G158" s="898"/>
      <c r="H158" s="18"/>
      <c r="I158" s="18"/>
      <c r="J158" s="89"/>
      <c r="K158" s="108"/>
      <c r="L158" s="18"/>
      <c r="M158" s="10"/>
      <c r="N158" s="63"/>
      <c r="O158" s="11"/>
      <c r="P158" s="11"/>
      <c r="Q158" s="11"/>
      <c r="R158" s="102"/>
      <c r="U158" s="31"/>
    </row>
    <row r="159" spans="3:21" s="6" customFormat="1" ht="15">
      <c r="C159" s="99"/>
      <c r="E159" s="16"/>
      <c r="F159" s="17"/>
      <c r="G159" s="898"/>
      <c r="H159" s="18"/>
      <c r="I159" s="18"/>
      <c r="J159" s="89"/>
      <c r="K159" s="108"/>
      <c r="L159" s="18"/>
      <c r="M159" s="10"/>
      <c r="N159" s="63"/>
      <c r="O159" s="11"/>
      <c r="P159" s="11"/>
      <c r="Q159" s="11"/>
      <c r="R159" s="102"/>
      <c r="U159" s="31"/>
    </row>
    <row r="160" spans="3:21" s="6" customFormat="1" ht="15">
      <c r="C160" s="99"/>
      <c r="E160" s="16"/>
      <c r="F160" s="17"/>
      <c r="G160" s="898"/>
      <c r="H160" s="18"/>
      <c r="I160" s="18"/>
      <c r="J160" s="89"/>
      <c r="K160" s="108"/>
      <c r="L160" s="18"/>
      <c r="M160" s="10"/>
      <c r="N160" s="63"/>
      <c r="O160" s="11"/>
      <c r="P160" s="11"/>
      <c r="Q160" s="11"/>
      <c r="R160" s="102"/>
      <c r="U160" s="31"/>
    </row>
    <row r="161" spans="2:21" s="6" customFormat="1" ht="15">
      <c r="C161" s="99"/>
      <c r="E161" s="16"/>
      <c r="F161" s="17"/>
      <c r="G161" s="898"/>
      <c r="H161" s="18"/>
      <c r="I161" s="18"/>
      <c r="J161" s="89"/>
      <c r="K161" s="108"/>
      <c r="L161" s="18"/>
      <c r="M161" s="10"/>
      <c r="N161" s="63"/>
      <c r="O161" s="11"/>
      <c r="P161" s="11"/>
      <c r="Q161" s="11"/>
      <c r="R161" s="102"/>
      <c r="U161" s="31"/>
    </row>
    <row r="162" spans="2:21" s="6" customFormat="1" ht="15">
      <c r="C162" s="99"/>
      <c r="E162" s="16"/>
      <c r="F162" s="17"/>
      <c r="G162" s="898"/>
      <c r="H162" s="18"/>
      <c r="I162" s="18"/>
      <c r="J162" s="89"/>
      <c r="K162" s="108"/>
      <c r="L162" s="18"/>
      <c r="M162" s="10"/>
      <c r="N162" s="63"/>
      <c r="O162" s="11"/>
      <c r="P162" s="11"/>
      <c r="Q162" s="11"/>
      <c r="R162" s="102"/>
      <c r="U162" s="31"/>
    </row>
    <row r="163" spans="2:21" s="6" customFormat="1" ht="15">
      <c r="C163" s="99"/>
      <c r="E163" s="16"/>
      <c r="F163" s="17"/>
      <c r="G163" s="898"/>
      <c r="H163" s="18"/>
      <c r="I163" s="18"/>
      <c r="J163" s="89"/>
      <c r="K163" s="108"/>
      <c r="L163" s="18"/>
      <c r="M163" s="10"/>
      <c r="N163" s="63"/>
      <c r="O163" s="11"/>
      <c r="P163" s="11"/>
      <c r="Q163" s="11"/>
      <c r="R163" s="102"/>
      <c r="U163" s="31"/>
    </row>
    <row r="164" spans="2:21" s="6" customFormat="1" ht="15">
      <c r="C164" s="99"/>
      <c r="E164" s="16"/>
      <c r="F164" s="17"/>
      <c r="G164" s="898"/>
      <c r="H164" s="18"/>
      <c r="I164" s="18"/>
      <c r="J164" s="89"/>
      <c r="K164" s="108"/>
      <c r="L164" s="18"/>
      <c r="M164" s="10"/>
      <c r="N164" s="63"/>
      <c r="O164" s="11"/>
      <c r="P164" s="11"/>
      <c r="Q164" s="11"/>
      <c r="R164" s="102"/>
      <c r="U164" s="31"/>
    </row>
    <row r="165" spans="2:21" s="6" customFormat="1" ht="15">
      <c r="C165" s="99"/>
      <c r="E165" s="16"/>
      <c r="F165" s="17"/>
      <c r="G165" s="898"/>
      <c r="H165" s="18"/>
      <c r="I165" s="18"/>
      <c r="J165" s="89"/>
      <c r="K165" s="108"/>
      <c r="L165" s="18"/>
      <c r="M165" s="10"/>
      <c r="N165" s="63"/>
      <c r="O165" s="11"/>
      <c r="P165" s="11"/>
      <c r="Q165" s="11"/>
      <c r="R165" s="102"/>
      <c r="U165" s="31"/>
    </row>
    <row r="166" spans="2:21" s="6" customFormat="1" ht="15">
      <c r="C166" s="99"/>
      <c r="E166" s="16"/>
      <c r="F166" s="17"/>
      <c r="G166" s="898"/>
      <c r="H166" s="18"/>
      <c r="I166" s="18"/>
      <c r="J166" s="89"/>
      <c r="K166" s="108"/>
      <c r="L166" s="18"/>
      <c r="M166" s="10"/>
      <c r="N166" s="63"/>
      <c r="O166" s="11"/>
      <c r="P166" s="11"/>
      <c r="Q166" s="11"/>
      <c r="R166" s="102"/>
      <c r="U166" s="31"/>
    </row>
    <row r="167" spans="2:21" s="6" customFormat="1" ht="15">
      <c r="B167" s="1"/>
      <c r="C167" s="98"/>
      <c r="D167" s="1"/>
      <c r="E167" s="2"/>
      <c r="F167" s="3"/>
      <c r="G167" s="591"/>
      <c r="H167" s="4"/>
      <c r="I167" s="4"/>
      <c r="J167" s="85"/>
      <c r="K167" s="108"/>
      <c r="L167" s="4"/>
      <c r="M167" s="5"/>
      <c r="N167" s="62"/>
      <c r="O167" s="7"/>
      <c r="P167" s="7"/>
      <c r="Q167" s="7"/>
      <c r="R167" s="102"/>
      <c r="U167" s="31"/>
    </row>
    <row r="168" spans="2:21" s="6" customFormat="1" ht="25.15">
      <c r="B168" s="8"/>
      <c r="C168" s="98"/>
      <c r="D168" s="19"/>
      <c r="E168" s="20"/>
      <c r="F168" s="21"/>
      <c r="G168" s="899"/>
      <c r="H168" s="18"/>
      <c r="I168" s="18"/>
      <c r="J168" s="89"/>
      <c r="K168" s="108"/>
      <c r="L168" s="18"/>
      <c r="M168" s="10"/>
      <c r="N168" s="63"/>
      <c r="O168" s="11"/>
      <c r="P168" s="11"/>
      <c r="Q168" s="11"/>
      <c r="R168" s="102"/>
      <c r="U168" s="31"/>
    </row>
    <row r="169" spans="2:21" s="6" customFormat="1" ht="15">
      <c r="B169" s="1"/>
      <c r="C169" s="98"/>
      <c r="D169" s="1"/>
      <c r="E169" s="2"/>
      <c r="F169" s="3"/>
      <c r="G169" s="591"/>
      <c r="H169" s="18"/>
      <c r="I169" s="18"/>
      <c r="J169" s="89"/>
      <c r="K169" s="108"/>
      <c r="L169" s="18"/>
      <c r="M169" s="10"/>
      <c r="N169" s="63"/>
      <c r="O169" s="11"/>
      <c r="P169" s="11"/>
      <c r="Q169" s="11"/>
      <c r="R169" s="102"/>
      <c r="U169" s="31"/>
    </row>
    <row r="170" spans="2:21" s="6" customFormat="1" ht="25.15">
      <c r="B170" s="8"/>
      <c r="C170" s="98"/>
      <c r="D170" s="22"/>
      <c r="E170" s="23"/>
      <c r="F170" s="24"/>
      <c r="G170" s="900"/>
      <c r="H170" s="18"/>
      <c r="I170" s="18"/>
      <c r="J170" s="89"/>
      <c r="K170" s="108"/>
      <c r="L170" s="18"/>
      <c r="M170" s="10"/>
      <c r="N170" s="63"/>
      <c r="O170" s="11"/>
      <c r="P170" s="11"/>
      <c r="Q170" s="11"/>
      <c r="R170" s="102"/>
      <c r="U170" s="31"/>
    </row>
  </sheetData>
  <sheetProtection sheet="1" objects="1" scenarios="1" selectLockedCells="1"/>
  <mergeCells count="74">
    <mergeCell ref="B91:U92"/>
    <mergeCell ref="D79:P79"/>
    <mergeCell ref="B81:D81"/>
    <mergeCell ref="E81:U81"/>
    <mergeCell ref="B84:D84"/>
    <mergeCell ref="E84:F84"/>
    <mergeCell ref="T88:U89"/>
    <mergeCell ref="L82:M82"/>
    <mergeCell ref="I82:K82"/>
    <mergeCell ref="I83:J83"/>
    <mergeCell ref="G88:S88"/>
    <mergeCell ref="G89:S89"/>
    <mergeCell ref="B88:F89"/>
    <mergeCell ref="U69:U70"/>
    <mergeCell ref="E70:Q70"/>
    <mergeCell ref="D71:Q71"/>
    <mergeCell ref="D73:S73"/>
    <mergeCell ref="B77:B78"/>
    <mergeCell ref="C77:C78"/>
    <mergeCell ref="D77:D78"/>
    <mergeCell ref="U77:U78"/>
    <mergeCell ref="E78:Q78"/>
    <mergeCell ref="D62:L62"/>
    <mergeCell ref="M62:T62"/>
    <mergeCell ref="D64:Q64"/>
    <mergeCell ref="B69:B70"/>
    <mergeCell ref="C69:C70"/>
    <mergeCell ref="D69:D70"/>
    <mergeCell ref="C61:F61"/>
    <mergeCell ref="D45:S45"/>
    <mergeCell ref="E50:J50"/>
    <mergeCell ref="D51:Q51"/>
    <mergeCell ref="B54:D54"/>
    <mergeCell ref="E54:F54"/>
    <mergeCell ref="H54:J54"/>
    <mergeCell ref="D58:F58"/>
    <mergeCell ref="G58:S58"/>
    <mergeCell ref="C59:E59"/>
    <mergeCell ref="D60:I60"/>
    <mergeCell ref="M60:T60"/>
    <mergeCell ref="D43:Q43"/>
    <mergeCell ref="D27:T27"/>
    <mergeCell ref="D29:T29"/>
    <mergeCell ref="C31:F31"/>
    <mergeCell ref="D32:L32"/>
    <mergeCell ref="M32:T32"/>
    <mergeCell ref="C33:E33"/>
    <mergeCell ref="D34:L34"/>
    <mergeCell ref="M34:T34"/>
    <mergeCell ref="D36:M36"/>
    <mergeCell ref="E42:J42"/>
    <mergeCell ref="D28:T28"/>
    <mergeCell ref="B11:F11"/>
    <mergeCell ref="Q5:T6"/>
    <mergeCell ref="D7:F7"/>
    <mergeCell ref="G7:L7"/>
    <mergeCell ref="S7:T7"/>
    <mergeCell ref="G8:M8"/>
    <mergeCell ref="Q8:R8"/>
    <mergeCell ref="S8:T8"/>
    <mergeCell ref="K5:L5"/>
    <mergeCell ref="E13:U13"/>
    <mergeCell ref="C23:C26"/>
    <mergeCell ref="D23:D26"/>
    <mergeCell ref="J23:J25"/>
    <mergeCell ref="T23:T26"/>
    <mergeCell ref="F24:H24"/>
    <mergeCell ref="E25:I25"/>
    <mergeCell ref="E26:S26"/>
    <mergeCell ref="B2:F2"/>
    <mergeCell ref="E4:G4"/>
    <mergeCell ref="H4:J4"/>
    <mergeCell ref="D5:G5"/>
    <mergeCell ref="I5:J5"/>
  </mergeCells>
  <dataValidations count="3">
    <dataValidation type="list" allowBlank="1" showInputMessage="1" showErrorMessage="1" sqref="Q83" xr:uid="{6A31C4D0-ECE3-4BD9-AD28-72D269C8A95B}">
      <formula1>"ja,nein"</formula1>
    </dataValidation>
    <dataValidation type="list" allowBlank="1" showInputMessage="1" showErrorMessage="1" sqref="K5 Q8:R8" xr:uid="{27480915-DB91-41F4-8912-7ABFC2C56101}">
      <formula1>"Ê,I"</formula1>
    </dataValidation>
    <dataValidation type="list" allowBlank="1" showInputMessage="1" showErrorMessage="1" sqref="H82" xr:uid="{9C14FE82-D5C6-4D4F-8E63-F5F174EB0D3A}">
      <formula1>"&lt; ja,&lt; nein,Wert manuell [-]"</formula1>
    </dataValidation>
  </dataValidations>
  <pageMargins left="0" right="0" top="0" bottom="0.19685039370078741" header="0" footer="0"/>
  <pageSetup paperSize="9" scale="80"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Depot</vt:lpstr>
      <vt:lpstr>Legende</vt:lpstr>
      <vt:lpstr>Depot!Druckbereich</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Depot</dc:title>
  <dc:subject>€FLUX</dc:subject>
  <dc:creator>© Bernd Stampp 2026</dc:creator>
  <cp:lastModifiedBy>Bernd Stampp</cp:lastModifiedBy>
  <cp:lastPrinted>2025-10-25T10:07:43Z</cp:lastPrinted>
  <dcterms:created xsi:type="dcterms:W3CDTF">1998-01-20T08:20:54Z</dcterms:created>
  <dcterms:modified xsi:type="dcterms:W3CDTF">2026-03-15T07:35:40Z</dcterms:modified>
</cp:coreProperties>
</file>